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755" tabRatio="767" firstSheet="3" activeTab="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SEMINARIOS'!$C$11:$C$203</definedName>
    <definedName name="_xlnm._FilterDatabase" localSheetId="4" hidden="1">'2. CONTRATACION DE PERSONAL'!$C$12:$C$917</definedName>
    <definedName name="_xlnm._FilterDatabase" localSheetId="5" hidden="1">'3. EQUIPO DE OFICINA'!$C$12:$C$173</definedName>
    <definedName name="_xlnm._FilterDatabase" localSheetId="6" hidden="1">'4. EQUIPO TECNOLÓGICOS'!$J$11:$J$126</definedName>
    <definedName name="_xlnm._FilterDatabase" localSheetId="7" hidden="1">'5. ACTIVIDADES ESPECIALES'!$J$13:$J$431</definedName>
    <definedName name="_xlnm._FilterDatabase" localSheetId="8" hidden="1">'6. Becas'!$J$13:$J$131</definedName>
    <definedName name="_xlnm._FilterDatabase" localSheetId="9" hidden="1">'7. Infraestructura'!$J$12:$J$96</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D10" i="10" l="1"/>
  <c r="C14" i="10"/>
  <c r="I17" i="10"/>
  <c r="K49" i="24"/>
  <c r="J76" i="10"/>
  <c r="I76" i="10"/>
  <c r="F76" i="10"/>
  <c r="J75" i="10"/>
  <c r="I75" i="10"/>
  <c r="F75" i="10"/>
  <c r="K46" i="24"/>
  <c r="K41" i="24"/>
  <c r="J757" i="12" l="1"/>
  <c r="I757" i="12"/>
  <c r="F757" i="12"/>
  <c r="J756" i="12"/>
  <c r="I756" i="12"/>
  <c r="F756" i="12"/>
  <c r="J755" i="12"/>
  <c r="I755" i="12"/>
  <c r="F755" i="12"/>
  <c r="J754" i="12"/>
  <c r="I754" i="12"/>
  <c r="F754" i="12"/>
  <c r="J753" i="12"/>
  <c r="I753" i="12"/>
  <c r="F753" i="12"/>
  <c r="J752" i="12"/>
  <c r="I752" i="12"/>
  <c r="F752" i="12"/>
  <c r="J751" i="12"/>
  <c r="I751" i="12"/>
  <c r="F751" i="12"/>
  <c r="J750" i="12"/>
  <c r="I750" i="12"/>
  <c r="F750" i="12"/>
  <c r="I749" i="12"/>
  <c r="E749" i="12"/>
  <c r="F749" i="12" s="1"/>
  <c r="C746"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I731" i="12"/>
  <c r="E731" i="12"/>
  <c r="F731" i="12" s="1"/>
  <c r="C728" i="12"/>
  <c r="J720" i="12"/>
  <c r="I720" i="12"/>
  <c r="F720" i="12"/>
  <c r="J719" i="12"/>
  <c r="I719" i="12"/>
  <c r="F719" i="12"/>
  <c r="J718" i="12"/>
  <c r="I718" i="12"/>
  <c r="F718" i="12"/>
  <c r="J717" i="12"/>
  <c r="I717" i="12"/>
  <c r="F717" i="12"/>
  <c r="J716" i="12"/>
  <c r="I716" i="12"/>
  <c r="F716" i="12"/>
  <c r="J715" i="12"/>
  <c r="I715" i="12"/>
  <c r="F715" i="12"/>
  <c r="J714" i="12"/>
  <c r="I714" i="12"/>
  <c r="F714" i="12"/>
  <c r="J713" i="12"/>
  <c r="I713" i="12"/>
  <c r="F713" i="12"/>
  <c r="I712" i="12"/>
  <c r="E712" i="12"/>
  <c r="F712" i="12" s="1"/>
  <c r="C709"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I694" i="12"/>
  <c r="E694" i="12"/>
  <c r="F694" i="12" s="1"/>
  <c r="C691" i="12"/>
  <c r="I683" i="12"/>
  <c r="F683" i="12"/>
  <c r="I682" i="12"/>
  <c r="F682" i="12"/>
  <c r="I681" i="12"/>
  <c r="E681" i="12"/>
  <c r="F681" i="12" s="1"/>
  <c r="C678" i="12"/>
  <c r="I671" i="12"/>
  <c r="F671" i="12"/>
  <c r="I670" i="12"/>
  <c r="E670" i="12"/>
  <c r="F670" i="12" s="1"/>
  <c r="C667" i="12"/>
  <c r="D619" i="12"/>
  <c r="I659" i="12"/>
  <c r="F659" i="12"/>
  <c r="I658" i="12"/>
  <c r="F658" i="12"/>
  <c r="I657" i="12"/>
  <c r="E657" i="12"/>
  <c r="F657" i="12" s="1"/>
  <c r="C654" i="12"/>
  <c r="I646" i="12"/>
  <c r="F646" i="12"/>
  <c r="I645" i="12"/>
  <c r="E645" i="12"/>
  <c r="F645" i="12" s="1"/>
  <c r="C642" i="12"/>
  <c r="I634" i="12"/>
  <c r="F634" i="12"/>
  <c r="I633" i="12"/>
  <c r="F633" i="12"/>
  <c r="I632" i="12"/>
  <c r="F632" i="12"/>
  <c r="I631" i="12"/>
  <c r="F631" i="12"/>
  <c r="I630" i="12"/>
  <c r="E630" i="12"/>
  <c r="F630" i="12" s="1"/>
  <c r="C627" i="12"/>
  <c r="F608" i="12"/>
  <c r="I608" i="12"/>
  <c r="D607" i="12"/>
  <c r="Q37" i="30"/>
  <c r="P37" i="30"/>
  <c r="Q36" i="30"/>
  <c r="P36" i="30"/>
  <c r="Q35" i="30"/>
  <c r="P35" i="30"/>
  <c r="Q34" i="30"/>
  <c r="P34" i="30"/>
  <c r="Q33" i="30"/>
  <c r="P33" i="30"/>
  <c r="Q32" i="30"/>
  <c r="P32" i="30"/>
  <c r="Q31" i="30"/>
  <c r="P31" i="30"/>
  <c r="Q30" i="30"/>
  <c r="P30" i="30"/>
  <c r="Q29" i="30"/>
  <c r="P29" i="30"/>
  <c r="Q28" i="30"/>
  <c r="P28" i="30"/>
  <c r="Q27" i="30"/>
  <c r="P27" i="30"/>
  <c r="Q26" i="30"/>
  <c r="P26" i="30"/>
  <c r="Q25" i="30"/>
  <c r="P25" i="30"/>
  <c r="Q24" i="30"/>
  <c r="P24" i="30"/>
  <c r="Q23" i="30"/>
  <c r="P23" i="30"/>
  <c r="P22" i="30"/>
  <c r="Q21" i="30"/>
  <c r="P21" i="30"/>
  <c r="Q20" i="30"/>
  <c r="P20" i="30"/>
  <c r="Q19" i="30"/>
  <c r="P19" i="30"/>
  <c r="P18" i="30"/>
  <c r="Q17" i="30"/>
  <c r="P17" i="30"/>
  <c r="Q16" i="30"/>
  <c r="P16" i="30"/>
  <c r="Q40" i="30"/>
  <c r="P40" i="30"/>
  <c r="Q39" i="30"/>
  <c r="P39" i="30"/>
  <c r="Q44" i="30"/>
  <c r="P44" i="30"/>
  <c r="Q48" i="30"/>
  <c r="P48" i="30"/>
  <c r="Q47" i="30"/>
  <c r="P47" i="30"/>
  <c r="Q46" i="30"/>
  <c r="P46" i="30"/>
  <c r="Q45" i="30"/>
  <c r="P45" i="30"/>
  <c r="Q52" i="30"/>
  <c r="P52" i="30"/>
  <c r="Q51" i="30"/>
  <c r="P51" i="30"/>
  <c r="Q50" i="30"/>
  <c r="P50" i="30"/>
  <c r="Q49" i="30"/>
  <c r="P49" i="30"/>
  <c r="I620" i="12"/>
  <c r="F620" i="12"/>
  <c r="I619" i="12"/>
  <c r="C616" i="12"/>
  <c r="I607" i="12"/>
  <c r="E607" i="12"/>
  <c r="C604" i="12"/>
  <c r="I594" i="12"/>
  <c r="F594" i="12"/>
  <c r="I593" i="12"/>
  <c r="F593" i="12"/>
  <c r="I592" i="12"/>
  <c r="E592" i="12"/>
  <c r="F592" i="12" s="1"/>
  <c r="C589" i="12"/>
  <c r="I581" i="12"/>
  <c r="F581" i="12"/>
  <c r="I580" i="12"/>
  <c r="E580" i="12"/>
  <c r="F580" i="12" s="1"/>
  <c r="C577" i="12"/>
  <c r="E540" i="12"/>
  <c r="D540" i="12"/>
  <c r="E528" i="12"/>
  <c r="D528" i="12"/>
  <c r="I569" i="12"/>
  <c r="F569" i="12"/>
  <c r="I568" i="12"/>
  <c r="E568" i="12"/>
  <c r="F568" i="12" s="1"/>
  <c r="C565" i="12"/>
  <c r="I556" i="12"/>
  <c r="F556" i="12"/>
  <c r="I555" i="12"/>
  <c r="E555" i="12"/>
  <c r="F555" i="12" s="1"/>
  <c r="C552" i="12"/>
  <c r="I543" i="12"/>
  <c r="F543" i="12"/>
  <c r="I542" i="12"/>
  <c r="F542" i="12"/>
  <c r="I541" i="12"/>
  <c r="I540" i="12"/>
  <c r="C537" i="12"/>
  <c r="P11" i="46"/>
  <c r="P10" i="46"/>
  <c r="D517" i="12"/>
  <c r="E464" i="12"/>
  <c r="F464" i="12" s="1"/>
  <c r="E463" i="12"/>
  <c r="F463" i="12" s="1"/>
  <c r="J507" i="12"/>
  <c r="I507" i="12"/>
  <c r="F507" i="12"/>
  <c r="J506" i="12"/>
  <c r="I506" i="12"/>
  <c r="F506" i="12"/>
  <c r="J505" i="12"/>
  <c r="I505" i="12"/>
  <c r="F505" i="12"/>
  <c r="J504" i="12"/>
  <c r="I504" i="12"/>
  <c r="F504" i="12"/>
  <c r="J503" i="12"/>
  <c r="I503" i="12"/>
  <c r="F503" i="12"/>
  <c r="J502" i="12"/>
  <c r="I502" i="12"/>
  <c r="F502" i="12"/>
  <c r="J501" i="12"/>
  <c r="I501" i="12"/>
  <c r="F501" i="12"/>
  <c r="J500" i="12"/>
  <c r="I500" i="12"/>
  <c r="F500" i="12"/>
  <c r="J499" i="12"/>
  <c r="I499" i="12"/>
  <c r="F499" i="12"/>
  <c r="J498" i="12"/>
  <c r="I498" i="12"/>
  <c r="F498" i="12"/>
  <c r="J497" i="12"/>
  <c r="I497" i="12"/>
  <c r="F497" i="12"/>
  <c r="J496" i="12"/>
  <c r="I496" i="12"/>
  <c r="F496" i="12"/>
  <c r="J495" i="12"/>
  <c r="I495" i="12"/>
  <c r="F495" i="12"/>
  <c r="J494" i="12"/>
  <c r="I494" i="12"/>
  <c r="F494" i="12"/>
  <c r="J493" i="12"/>
  <c r="I493" i="12"/>
  <c r="F493" i="12"/>
  <c r="J492" i="12"/>
  <c r="I492" i="12"/>
  <c r="F492"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J474" i="12"/>
  <c r="I474" i="12"/>
  <c r="F474" i="12"/>
  <c r="J473" i="12"/>
  <c r="I473" i="12"/>
  <c r="F473" i="12"/>
  <c r="J472" i="12"/>
  <c r="I472" i="12"/>
  <c r="F472" i="12"/>
  <c r="J471" i="12"/>
  <c r="I471" i="12"/>
  <c r="F471" i="12"/>
  <c r="J470" i="12"/>
  <c r="I470" i="12"/>
  <c r="F470" i="12"/>
  <c r="J469" i="12"/>
  <c r="I469" i="12"/>
  <c r="F469" i="12"/>
  <c r="J468" i="12"/>
  <c r="I468" i="12"/>
  <c r="F468" i="12"/>
  <c r="J467" i="12"/>
  <c r="I467" i="12"/>
  <c r="F467" i="12"/>
  <c r="J466" i="12"/>
  <c r="I466" i="12"/>
  <c r="F466" i="12"/>
  <c r="J465" i="12"/>
  <c r="I465" i="12"/>
  <c r="F465" i="12"/>
  <c r="J464" i="12"/>
  <c r="I464" i="12"/>
  <c r="J463" i="12"/>
  <c r="I463" i="12"/>
  <c r="J462" i="12"/>
  <c r="I462" i="12"/>
  <c r="F462" i="12"/>
  <c r="J461" i="12"/>
  <c r="I461" i="12"/>
  <c r="F461" i="12"/>
  <c r="J460" i="12"/>
  <c r="I460" i="12"/>
  <c r="F460" i="12"/>
  <c r="J459" i="12"/>
  <c r="I459" i="12"/>
  <c r="F459" i="12"/>
  <c r="E73" i="10"/>
  <c r="E72" i="10"/>
  <c r="I529" i="12"/>
  <c r="F529" i="12"/>
  <c r="I528" i="12"/>
  <c r="C525" i="12"/>
  <c r="I517" i="12"/>
  <c r="E517" i="12"/>
  <c r="C514" i="12"/>
  <c r="J458" i="12"/>
  <c r="I458" i="12"/>
  <c r="F458" i="12"/>
  <c r="J457" i="12"/>
  <c r="I457" i="12"/>
  <c r="F457" i="12"/>
  <c r="J456" i="12"/>
  <c r="I456" i="12"/>
  <c r="F456" i="12"/>
  <c r="J455" i="12"/>
  <c r="I455" i="12"/>
  <c r="F455" i="12"/>
  <c r="J454" i="12"/>
  <c r="I454" i="12"/>
  <c r="F454" i="12"/>
  <c r="I453" i="12"/>
  <c r="E453" i="12"/>
  <c r="F453" i="12" s="1"/>
  <c r="C450" i="12"/>
  <c r="J443" i="12"/>
  <c r="I443" i="12"/>
  <c r="F443" i="12"/>
  <c r="J442" i="12"/>
  <c r="I442" i="12"/>
  <c r="F442" i="12"/>
  <c r="I441" i="12"/>
  <c r="E441" i="12"/>
  <c r="F441" i="12" s="1"/>
  <c r="C438" i="12"/>
  <c r="I19" i="42"/>
  <c r="F19" i="42"/>
  <c r="I18" i="42"/>
  <c r="F18" i="42"/>
  <c r="Q56" i="24"/>
  <c r="P56" i="24"/>
  <c r="Q55" i="24"/>
  <c r="P55" i="24"/>
  <c r="Q54" i="24"/>
  <c r="P54" i="24"/>
  <c r="Q53" i="24"/>
  <c r="P53" i="24"/>
  <c r="Q52" i="24"/>
  <c r="P52" i="24"/>
  <c r="Q51" i="24"/>
  <c r="P51" i="24"/>
  <c r="P50" i="24"/>
  <c r="P49" i="24"/>
  <c r="P48" i="24"/>
  <c r="P47" i="24"/>
  <c r="Q23" i="24"/>
  <c r="P23" i="24"/>
  <c r="Q22" i="24"/>
  <c r="P22" i="24"/>
  <c r="P21" i="24"/>
  <c r="P20" i="24"/>
  <c r="P19" i="24"/>
  <c r="P18" i="24"/>
  <c r="Q17" i="24"/>
  <c r="P17" i="24"/>
  <c r="D705" i="12" l="1"/>
  <c r="D687" i="12"/>
  <c r="D674" i="12"/>
  <c r="D742" i="12"/>
  <c r="D663" i="12"/>
  <c r="M22" i="30" s="1"/>
  <c r="Q22" i="30" s="1"/>
  <c r="D724" i="12"/>
  <c r="D638" i="12"/>
  <c r="M40" i="21" s="1"/>
  <c r="D650" i="12"/>
  <c r="D623" i="12"/>
  <c r="M29" i="21" s="1"/>
  <c r="F607" i="12"/>
  <c r="D600" i="12" s="1"/>
  <c r="M35" i="21" s="1"/>
  <c r="D585" i="12"/>
  <c r="M15" i="30" s="1"/>
  <c r="D573" i="12"/>
  <c r="M13" i="30" s="1"/>
  <c r="F540" i="12"/>
  <c r="D548" i="12"/>
  <c r="K11" i="30" s="1"/>
  <c r="D561" i="12"/>
  <c r="F528" i="12"/>
  <c r="D521" i="12" s="1"/>
  <c r="F517" i="12"/>
  <c r="D510" i="12" s="1"/>
  <c r="D434" i="12"/>
  <c r="D446" i="12"/>
  <c r="K50" i="24" s="1"/>
  <c r="Q50" i="24" s="1"/>
  <c r="O33" i="22" l="1"/>
  <c r="K33" i="22"/>
  <c r="M18" i="30"/>
  <c r="O18" i="30"/>
  <c r="K18" i="30"/>
  <c r="K12" i="30"/>
  <c r="M12" i="30"/>
  <c r="I12" i="30"/>
  <c r="O12" i="30"/>
  <c r="I10" i="46"/>
  <c r="O10" i="46"/>
  <c r="M10" i="46"/>
  <c r="K10" i="46"/>
  <c r="M24" i="23"/>
  <c r="O24" i="23"/>
  <c r="K24" i="23"/>
  <c r="Q18" i="30" l="1"/>
  <c r="Q10" i="46"/>
  <c r="P37" i="21" l="1"/>
  <c r="D405" i="12"/>
  <c r="P34" i="21"/>
  <c r="E391" i="12"/>
  <c r="D391" i="12"/>
  <c r="P27" i="21" l="1"/>
  <c r="Q25" i="21"/>
  <c r="P25" i="21"/>
  <c r="Q24" i="21"/>
  <c r="P24" i="21"/>
  <c r="Q23" i="21"/>
  <c r="P23" i="21"/>
  <c r="Q22" i="21"/>
  <c r="P22" i="21"/>
  <c r="Q21" i="21"/>
  <c r="P21" i="21"/>
  <c r="Q29" i="21" l="1"/>
  <c r="P29" i="21"/>
  <c r="P28" i="21"/>
  <c r="Q20" i="21"/>
  <c r="P20" i="21"/>
  <c r="Q33" i="22"/>
  <c r="P33" i="22"/>
  <c r="Q32" i="22"/>
  <c r="P32" i="22"/>
  <c r="Q31" i="22"/>
  <c r="P31" i="22"/>
  <c r="P30" i="22"/>
  <c r="Q29" i="22"/>
  <c r="P29" i="22"/>
  <c r="Q28" i="22"/>
  <c r="P28" i="22"/>
  <c r="Q27" i="22"/>
  <c r="P27" i="22"/>
  <c r="D344" i="12" l="1"/>
  <c r="I344" i="12"/>
  <c r="E344" i="12"/>
  <c r="C341" i="12"/>
  <c r="D334" i="12"/>
  <c r="E333" i="12"/>
  <c r="D333" i="12"/>
  <c r="D323" i="12"/>
  <c r="J55" i="8"/>
  <c r="J54" i="8"/>
  <c r="J53" i="8"/>
  <c r="F53" i="8"/>
  <c r="G53" i="8" s="1"/>
  <c r="C50" i="8"/>
  <c r="P44" i="24"/>
  <c r="J286" i="12"/>
  <c r="I286" i="12"/>
  <c r="F286" i="12"/>
  <c r="J285" i="12"/>
  <c r="I285" i="12"/>
  <c r="F285" i="12"/>
  <c r="J284" i="12"/>
  <c r="I284" i="12"/>
  <c r="F284" i="12"/>
  <c r="J283" i="12"/>
  <c r="I283" i="12"/>
  <c r="F283" i="12"/>
  <c r="J282" i="12"/>
  <c r="I282" i="12"/>
  <c r="F282" i="12"/>
  <c r="J281" i="12"/>
  <c r="I281" i="12"/>
  <c r="F281" i="12"/>
  <c r="J280" i="12"/>
  <c r="I280" i="12"/>
  <c r="F280" i="12"/>
  <c r="J279" i="12"/>
  <c r="I279" i="12"/>
  <c r="F279" i="12"/>
  <c r="J278" i="12"/>
  <c r="I278" i="12"/>
  <c r="F278" i="12"/>
  <c r="J277" i="12"/>
  <c r="I277" i="12"/>
  <c r="F277" i="12"/>
  <c r="J276" i="12"/>
  <c r="I276" i="12"/>
  <c r="F276" i="12"/>
  <c r="J275" i="12"/>
  <c r="I275" i="12"/>
  <c r="F275" i="12"/>
  <c r="J274" i="12"/>
  <c r="I274" i="12"/>
  <c r="F274" i="12"/>
  <c r="J273" i="12"/>
  <c r="I273" i="12"/>
  <c r="F273" i="12"/>
  <c r="J272" i="12"/>
  <c r="I272" i="12"/>
  <c r="F272" i="12"/>
  <c r="J271" i="12"/>
  <c r="I271" i="12"/>
  <c r="F271" i="12"/>
  <c r="J270" i="12"/>
  <c r="I270" i="12"/>
  <c r="F270" i="12"/>
  <c r="J269" i="12"/>
  <c r="I269" i="12"/>
  <c r="F269" i="12"/>
  <c r="Q60" i="24"/>
  <c r="P60" i="24"/>
  <c r="Q59" i="24"/>
  <c r="P59" i="24"/>
  <c r="Q58" i="24"/>
  <c r="P58" i="24"/>
  <c r="Q57" i="24"/>
  <c r="P57" i="24"/>
  <c r="P46" i="24"/>
  <c r="P45" i="24"/>
  <c r="P43" i="24"/>
  <c r="P42" i="24"/>
  <c r="Q26" i="21"/>
  <c r="P26" i="21"/>
  <c r="F344" i="12" l="1"/>
  <c r="D337" i="12" s="1"/>
  <c r="K14" i="29" s="1"/>
  <c r="F55" i="8"/>
  <c r="G55" i="8" s="1"/>
  <c r="F54" i="8"/>
  <c r="G54" i="8" s="1"/>
  <c r="Q19" i="21"/>
  <c r="P19" i="21"/>
  <c r="Q18" i="21"/>
  <c r="P18" i="21"/>
  <c r="Q17" i="21"/>
  <c r="P17" i="21"/>
  <c r="Q16" i="21"/>
  <c r="P16" i="21"/>
  <c r="Q15" i="21"/>
  <c r="P15" i="21"/>
  <c r="Q14" i="21"/>
  <c r="P14" i="21"/>
  <c r="Q13" i="21"/>
  <c r="P13" i="21"/>
  <c r="O74" i="50"/>
  <c r="N74" i="50"/>
  <c r="L74" i="50"/>
  <c r="K74" i="50"/>
  <c r="J74" i="50"/>
  <c r="H74" i="50"/>
  <c r="Q17" i="50"/>
  <c r="P17" i="50"/>
  <c r="Q16" i="50"/>
  <c r="P16" i="50"/>
  <c r="Q15" i="50"/>
  <c r="P15" i="50"/>
  <c r="Q14" i="50"/>
  <c r="P14" i="50"/>
  <c r="Q13" i="50"/>
  <c r="P13" i="50"/>
  <c r="P12" i="50"/>
  <c r="P11" i="50"/>
  <c r="K58" i="7"/>
  <c r="J58" i="7"/>
  <c r="F58" i="7"/>
  <c r="G58" i="7" s="1"/>
  <c r="K57" i="7"/>
  <c r="J57" i="7"/>
  <c r="G57" i="7"/>
  <c r="J56" i="7"/>
  <c r="G56" i="7"/>
  <c r="C53" i="7"/>
  <c r="J43" i="8"/>
  <c r="J42" i="8"/>
  <c r="J41" i="8"/>
  <c r="F41" i="8"/>
  <c r="G41" i="8" s="1"/>
  <c r="C38" i="8"/>
  <c r="E29" i="42"/>
  <c r="Q25" i="22"/>
  <c r="P25" i="22"/>
  <c r="Q24" i="22"/>
  <c r="P24" i="22"/>
  <c r="Q23" i="22"/>
  <c r="P23" i="22"/>
  <c r="Q22" i="22"/>
  <c r="P22" i="22"/>
  <c r="Q21" i="22"/>
  <c r="P21" i="22"/>
  <c r="Q20" i="22"/>
  <c r="P20" i="22"/>
  <c r="Q11" i="22"/>
  <c r="P11" i="22"/>
  <c r="P12" i="21"/>
  <c r="D195" i="12"/>
  <c r="I195" i="12"/>
  <c r="E195" i="12"/>
  <c r="C192" i="12"/>
  <c r="J185" i="12"/>
  <c r="I185" i="12"/>
  <c r="F185" i="12"/>
  <c r="I184" i="12"/>
  <c r="E184" i="12"/>
  <c r="F184" i="12" s="1"/>
  <c r="C181" i="12"/>
  <c r="Q26" i="24"/>
  <c r="P26" i="24"/>
  <c r="Q25" i="24"/>
  <c r="P25" i="24"/>
  <c r="Q24" i="24"/>
  <c r="P24" i="24"/>
  <c r="P16" i="24"/>
  <c r="Q30" i="24"/>
  <c r="P30" i="24"/>
  <c r="Q29" i="24"/>
  <c r="P29" i="24"/>
  <c r="Q28" i="24"/>
  <c r="P28" i="24"/>
  <c r="Q27" i="24"/>
  <c r="P27" i="24"/>
  <c r="P37" i="24"/>
  <c r="P38" i="24"/>
  <c r="P39" i="24"/>
  <c r="P40" i="24"/>
  <c r="E108"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J149" i="12"/>
  <c r="I149" i="12"/>
  <c r="F149" i="12"/>
  <c r="J148" i="12"/>
  <c r="I148" i="12"/>
  <c r="F148" i="12"/>
  <c r="J147" i="12"/>
  <c r="I147" i="12"/>
  <c r="F147" i="12"/>
  <c r="J146" i="12"/>
  <c r="I146" i="12"/>
  <c r="F146" i="12"/>
  <c r="J145" i="12"/>
  <c r="I145" i="12"/>
  <c r="F145" i="12"/>
  <c r="J144" i="12"/>
  <c r="I144" i="12"/>
  <c r="F144" i="12"/>
  <c r="J143" i="12"/>
  <c r="I143" i="12"/>
  <c r="F143" i="12"/>
  <c r="J142" i="12"/>
  <c r="I142" i="12"/>
  <c r="F142" i="12"/>
  <c r="J141" i="12"/>
  <c r="I141" i="12"/>
  <c r="F141" i="12"/>
  <c r="J140" i="12"/>
  <c r="I140" i="12"/>
  <c r="F140" i="12"/>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D46" i="8" l="1"/>
  <c r="M65" i="24" s="1"/>
  <c r="D49" i="7"/>
  <c r="I11" i="50" s="1"/>
  <c r="F43" i="8"/>
  <c r="G43" i="8" s="1"/>
  <c r="F42" i="8"/>
  <c r="G42" i="8" s="1"/>
  <c r="F195" i="12"/>
  <c r="D188" i="12" s="1"/>
  <c r="M33" i="21" s="1"/>
  <c r="D177" i="12"/>
  <c r="I37" i="24" s="1"/>
  <c r="Q37" i="24" s="1"/>
  <c r="I65" i="24" l="1"/>
  <c r="D34" i="8"/>
  <c r="I64" i="24" s="1"/>
  <c r="M64" i="24"/>
  <c r="I74" i="50"/>
  <c r="Q11" i="50"/>
  <c r="J31" i="8"/>
  <c r="J30" i="8"/>
  <c r="J29" i="8"/>
  <c r="F29" i="8"/>
  <c r="G29" i="8" s="1"/>
  <c r="F31" i="8" s="1"/>
  <c r="G31" i="8" s="1"/>
  <c r="C26" i="8"/>
  <c r="P15" i="24"/>
  <c r="K64" i="24" l="1"/>
  <c r="F30" i="8"/>
  <c r="G30" i="8" s="1"/>
  <c r="D22" i="8" s="1"/>
  <c r="I63" i="24" l="1"/>
  <c r="M63" i="24"/>
  <c r="K63" i="24"/>
  <c r="J95" i="12"/>
  <c r="I95" i="12"/>
  <c r="F95" i="12"/>
  <c r="I94" i="12"/>
  <c r="E94" i="12"/>
  <c r="F94" i="12" s="1"/>
  <c r="C91" i="12"/>
  <c r="D87" i="12" l="1"/>
  <c r="K9" i="29" s="1"/>
  <c r="J46" i="12" l="1"/>
  <c r="J47" i="12"/>
  <c r="P16" i="22"/>
  <c r="D27" i="38" l="1"/>
  <c r="P9" i="46" l="1"/>
  <c r="Q9"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C143" i="43" l="1"/>
  <c r="C100" i="43"/>
  <c r="C57" i="43"/>
  <c r="C14" i="43"/>
  <c r="C92" i="42"/>
  <c r="C82" i="42"/>
  <c r="C52" i="42"/>
  <c r="C42" i="42"/>
  <c r="C24" i="42"/>
  <c r="C107" i="40"/>
  <c r="C76" i="40"/>
  <c r="C45" i="40"/>
  <c r="C13" i="42"/>
  <c r="C14" i="40"/>
  <c r="C427" i="12"/>
  <c r="C413" i="12"/>
  <c r="C402" i="12"/>
  <c r="C388" i="12"/>
  <c r="C367" i="12"/>
  <c r="C354" i="12"/>
  <c r="C330" i="12"/>
  <c r="C320" i="12"/>
  <c r="C293" i="12"/>
  <c r="C245" i="12"/>
  <c r="C234" i="12"/>
  <c r="C202" i="12"/>
  <c r="C165" i="12"/>
  <c r="C104" i="12"/>
  <c r="C80" i="12"/>
  <c r="C69" i="12"/>
  <c r="C55" i="12"/>
  <c r="C42" i="12"/>
  <c r="C29" i="12"/>
  <c r="C14" i="12"/>
  <c r="C110" i="10"/>
  <c r="C87" i="10"/>
  <c r="C69" i="10"/>
  <c r="C57" i="10"/>
  <c r="C47" i="10"/>
  <c r="C36" i="10"/>
  <c r="C24" i="10"/>
  <c r="C161" i="9"/>
  <c r="C142" i="9"/>
  <c r="C123" i="9"/>
  <c r="C110" i="9"/>
  <c r="C94" i="9"/>
  <c r="C84" i="9"/>
  <c r="C71" i="9"/>
  <c r="C61" i="9"/>
  <c r="C51" i="9"/>
  <c r="C37" i="9"/>
  <c r="C27" i="9"/>
  <c r="C14" i="9"/>
  <c r="C864" i="8"/>
  <c r="C804" i="8"/>
  <c r="C744" i="8"/>
  <c r="C684" i="8"/>
  <c r="C624" i="8"/>
  <c r="C564" i="8"/>
  <c r="C504" i="8"/>
  <c r="C444" i="8"/>
  <c r="C384" i="8"/>
  <c r="C324" i="8"/>
  <c r="C264" i="8"/>
  <c r="C204" i="8"/>
  <c r="C144" i="8"/>
  <c r="C84" i="8"/>
  <c r="C63" i="8"/>
  <c r="C14" i="8"/>
  <c r="C191" i="7"/>
  <c r="C172" i="7"/>
  <c r="C153" i="7"/>
  <c r="C134" i="7"/>
  <c r="C115" i="7"/>
  <c r="C102" i="7"/>
  <c r="C92" i="7"/>
  <c r="C79" i="7"/>
  <c r="C66" i="7"/>
  <c r="C40" i="7"/>
  <c r="C27"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Q73" i="50"/>
  <c r="P73" i="50"/>
  <c r="Q22" i="50"/>
  <c r="P22" i="50"/>
  <c r="Q21" i="50"/>
  <c r="P21" i="50"/>
  <c r="Q20" i="50"/>
  <c r="P20" i="50"/>
  <c r="Q19" i="50"/>
  <c r="P19" i="50"/>
  <c r="Q18" i="50"/>
  <c r="P18" i="50"/>
  <c r="P74" i="50" l="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E541" i="12" s="1"/>
  <c r="F541" i="12" s="1"/>
  <c r="D533" i="12" s="1"/>
  <c r="M11" i="46" s="1"/>
  <c r="Q11" i="46" s="1"/>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E619" i="12" s="1"/>
  <c r="F619" i="12" s="1"/>
  <c r="D612" i="12" s="1"/>
  <c r="M37" i="21" s="1"/>
  <c r="Q37" i="21" s="1"/>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26" i="46"/>
  <c r="Q26" i="46"/>
  <c r="P27" i="46"/>
  <c r="Q27" i="46"/>
  <c r="P28" i="46"/>
  <c r="Q28"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31" i="24"/>
  <c r="P33" i="24"/>
  <c r="P34" i="24"/>
  <c r="P35" i="24"/>
  <c r="P41" i="24"/>
  <c r="P61" i="24"/>
  <c r="Q61" i="24"/>
  <c r="P62" i="24"/>
  <c r="P63" i="24"/>
  <c r="Q63" i="24"/>
  <c r="P64" i="24"/>
  <c r="Q64" i="24"/>
  <c r="P65" i="24"/>
  <c r="Q65" i="24"/>
  <c r="P66" i="24"/>
  <c r="P67" i="24"/>
  <c r="Q67" i="24"/>
  <c r="P68" i="24"/>
  <c r="Q68" i="24"/>
  <c r="P69" i="24"/>
  <c r="Q69" i="24"/>
  <c r="P70" i="24"/>
  <c r="Q70" i="24"/>
  <c r="P71" i="24"/>
  <c r="Q71" i="24"/>
  <c r="P72" i="24"/>
  <c r="Q72" i="24"/>
  <c r="P73" i="24"/>
  <c r="Q73"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67" i="30"/>
  <c r="P67" i="30"/>
  <c r="Q66" i="30"/>
  <c r="P66" i="30"/>
  <c r="Q65" i="30"/>
  <c r="P65" i="30"/>
  <c r="Q64" i="30"/>
  <c r="P64" i="30"/>
  <c r="Q63" i="30"/>
  <c r="P63" i="30"/>
  <c r="Q62" i="30"/>
  <c r="P62" i="30"/>
  <c r="Q61" i="30"/>
  <c r="P61" i="30"/>
  <c r="Q60" i="30"/>
  <c r="P60" i="30"/>
  <c r="Q59" i="30"/>
  <c r="P59" i="30"/>
  <c r="Q58" i="30"/>
  <c r="P58" i="30"/>
  <c r="Q57" i="30"/>
  <c r="P57" i="30"/>
  <c r="Q56" i="30"/>
  <c r="P56" i="30"/>
  <c r="Q54" i="30"/>
  <c r="P54" i="30"/>
  <c r="Q53" i="30"/>
  <c r="P53" i="30"/>
  <c r="P43" i="30"/>
  <c r="P42" i="30"/>
  <c r="P41" i="30"/>
  <c r="Q38" i="30"/>
  <c r="P38"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P13" i="29"/>
  <c r="Q12" i="29"/>
  <c r="P12" i="29"/>
  <c r="P11" i="29"/>
  <c r="Q10" i="29"/>
  <c r="P10" i="29"/>
  <c r="Q9" i="29"/>
  <c r="P9" i="29"/>
  <c r="P8" i="29"/>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P35" i="22"/>
  <c r="P34" i="22"/>
  <c r="Q26" i="22"/>
  <c r="P26" i="22"/>
  <c r="P19" i="22"/>
  <c r="P18" i="22"/>
  <c r="Q17" i="22"/>
  <c r="P17" i="22"/>
  <c r="Q15" i="22"/>
  <c r="P15" i="22"/>
  <c r="Q14" i="22"/>
  <c r="P14" i="22"/>
  <c r="Q13" i="22"/>
  <c r="P13" i="22"/>
  <c r="Q12" i="22"/>
  <c r="P12" i="22"/>
  <c r="Q10" i="22"/>
  <c r="P10" i="22"/>
  <c r="Q9" i="22"/>
  <c r="P9" i="22"/>
  <c r="Q61" i="22"/>
  <c r="P61" i="22"/>
  <c r="P9" i="21"/>
  <c r="Q9" i="21"/>
  <c r="P10" i="21"/>
  <c r="Q10" i="21"/>
  <c r="P11" i="21"/>
  <c r="Q11" i="21"/>
  <c r="P33" i="21"/>
  <c r="Q33" i="21"/>
  <c r="P35" i="21"/>
  <c r="Q35" i="21"/>
  <c r="P36" i="21"/>
  <c r="Q36" i="21"/>
  <c r="P38" i="21"/>
  <c r="Q38" i="21"/>
  <c r="P39" i="21"/>
  <c r="Q39" i="21"/>
  <c r="P40" i="21"/>
  <c r="Q40" i="21"/>
  <c r="P41" i="21"/>
  <c r="Q41" i="21"/>
  <c r="P42" i="21"/>
  <c r="Q42" i="21"/>
  <c r="P43" i="21"/>
  <c r="Q43" i="21"/>
  <c r="P44" i="21"/>
  <c r="Q44" i="21"/>
  <c r="P45" i="21"/>
  <c r="Q45" i="21"/>
  <c r="P46" i="21"/>
  <c r="Q46" i="21"/>
  <c r="P47" i="21"/>
  <c r="Q47" i="21"/>
  <c r="P48" i="21"/>
  <c r="Q48" i="21"/>
  <c r="Q8" i="21"/>
  <c r="P8" i="21"/>
  <c r="P10" i="28"/>
  <c r="P11" i="28"/>
  <c r="P12" i="28"/>
  <c r="P13" i="28"/>
  <c r="P14" i="28"/>
  <c r="P15" i="28"/>
  <c r="P16" i="28"/>
  <c r="P17" i="28"/>
  <c r="P18" i="28"/>
  <c r="P19" i="28"/>
  <c r="P20" i="28"/>
  <c r="P21" i="28"/>
  <c r="P22" i="28"/>
  <c r="P23" i="28"/>
  <c r="P24" i="28"/>
  <c r="P25" i="28"/>
  <c r="P26" i="28"/>
  <c r="P27" i="28"/>
  <c r="P9" i="28"/>
  <c r="Q9" i="28"/>
  <c r="Q11"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76" i="42"/>
  <c r="J75" i="42"/>
  <c r="J74" i="42"/>
  <c r="J73" i="42"/>
  <c r="J72" i="42"/>
  <c r="J71" i="42"/>
  <c r="J70" i="42"/>
  <c r="J69" i="42"/>
  <c r="J68" i="42"/>
  <c r="J67" i="42"/>
  <c r="J66" i="42"/>
  <c r="J65" i="42"/>
  <c r="J64" i="42"/>
  <c r="J63" i="42"/>
  <c r="J62" i="42"/>
  <c r="J61" i="42"/>
  <c r="J60" i="42"/>
  <c r="J59" i="42"/>
  <c r="J58" i="42"/>
  <c r="J57" i="42"/>
  <c r="D89" i="42"/>
  <c r="K21" i="24" s="1"/>
  <c r="Q21" i="24" s="1"/>
  <c r="I76" i="42"/>
  <c r="F76" i="42"/>
  <c r="I75" i="42"/>
  <c r="F75" i="42"/>
  <c r="I74" i="42"/>
  <c r="F74" i="42"/>
  <c r="I73" i="42"/>
  <c r="F73" i="42"/>
  <c r="I72" i="42"/>
  <c r="F72" i="42"/>
  <c r="I71" i="42"/>
  <c r="F71" i="42"/>
  <c r="I70" i="42"/>
  <c r="F70" i="42"/>
  <c r="I69" i="42"/>
  <c r="F69" i="42"/>
  <c r="I68" i="42"/>
  <c r="F68" i="42"/>
  <c r="I67" i="42"/>
  <c r="F67" i="42"/>
  <c r="I66" i="42"/>
  <c r="F66" i="42"/>
  <c r="I65" i="42"/>
  <c r="F65" i="42"/>
  <c r="I64" i="42"/>
  <c r="F64" i="42"/>
  <c r="I63" i="42"/>
  <c r="F63" i="42"/>
  <c r="I62" i="42"/>
  <c r="F62" i="42"/>
  <c r="I61" i="42"/>
  <c r="F61" i="42"/>
  <c r="I60" i="42"/>
  <c r="F60" i="42"/>
  <c r="I59" i="42"/>
  <c r="F59" i="42"/>
  <c r="I58" i="42"/>
  <c r="F58" i="42"/>
  <c r="I57" i="42"/>
  <c r="F57" i="42"/>
  <c r="I56" i="42"/>
  <c r="F56" i="42"/>
  <c r="I36" i="42"/>
  <c r="F36" i="42"/>
  <c r="I35" i="42"/>
  <c r="F35" i="42"/>
  <c r="I34" i="42"/>
  <c r="F34" i="42"/>
  <c r="I33" i="42"/>
  <c r="F33" i="42"/>
  <c r="I32" i="42"/>
  <c r="F32" i="42"/>
  <c r="I31" i="42"/>
  <c r="F31" i="42"/>
  <c r="I30" i="42"/>
  <c r="F30" i="42"/>
  <c r="I29" i="42"/>
  <c r="F29" i="42"/>
  <c r="I28" i="42"/>
  <c r="F28"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420" i="12"/>
  <c r="J419" i="12"/>
  <c r="J418" i="12"/>
  <c r="J417" i="12"/>
  <c r="J406" i="12"/>
  <c r="J395" i="12"/>
  <c r="J394" i="12"/>
  <c r="J393" i="12"/>
  <c r="J392" i="12"/>
  <c r="J381" i="12"/>
  <c r="J380" i="12"/>
  <c r="J379" i="12"/>
  <c r="J378" i="12"/>
  <c r="J377" i="12"/>
  <c r="J376" i="12"/>
  <c r="J375" i="12"/>
  <c r="J374" i="12"/>
  <c r="J373" i="12"/>
  <c r="J372" i="12"/>
  <c r="J371" i="12"/>
  <c r="J360" i="12"/>
  <c r="J359" i="12"/>
  <c r="J358" i="12"/>
  <c r="J334" i="12"/>
  <c r="J313" i="12"/>
  <c r="J312" i="12"/>
  <c r="J311" i="12"/>
  <c r="J310" i="12"/>
  <c r="J309" i="12"/>
  <c r="J308" i="12"/>
  <c r="J307" i="12"/>
  <c r="J306" i="12"/>
  <c r="J305" i="12"/>
  <c r="J304" i="12"/>
  <c r="J303" i="12"/>
  <c r="J302" i="12"/>
  <c r="J301" i="12"/>
  <c r="J300" i="12"/>
  <c r="J299" i="12"/>
  <c r="J298" i="12"/>
  <c r="J297" i="12"/>
  <c r="J268" i="12"/>
  <c r="J267" i="12"/>
  <c r="J266" i="12"/>
  <c r="J265" i="12"/>
  <c r="J264" i="12"/>
  <c r="J263" i="12"/>
  <c r="J262" i="12"/>
  <c r="J261" i="12"/>
  <c r="J260" i="12"/>
  <c r="J259" i="12"/>
  <c r="J258" i="12"/>
  <c r="J257" i="12"/>
  <c r="J256" i="12"/>
  <c r="J255" i="12"/>
  <c r="J254" i="12"/>
  <c r="J253" i="12"/>
  <c r="J252" i="12"/>
  <c r="J251" i="12"/>
  <c r="J250" i="12"/>
  <c r="J24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174" i="12"/>
  <c r="J173" i="12"/>
  <c r="J172" i="12"/>
  <c r="J171" i="12"/>
  <c r="J170" i="12"/>
  <c r="J169" i="12"/>
  <c r="J123" i="12"/>
  <c r="J122" i="12"/>
  <c r="J121" i="12"/>
  <c r="J120" i="12"/>
  <c r="J119" i="12"/>
  <c r="J118" i="12"/>
  <c r="J117" i="12"/>
  <c r="J116" i="12"/>
  <c r="J115" i="12"/>
  <c r="J114" i="12"/>
  <c r="J113" i="12"/>
  <c r="J112" i="12"/>
  <c r="J111" i="12"/>
  <c r="J110" i="12"/>
  <c r="J109" i="12"/>
  <c r="J108" i="12"/>
  <c r="J84" i="12"/>
  <c r="J73" i="12"/>
  <c r="J62" i="12"/>
  <c r="J61" i="12"/>
  <c r="J60" i="12"/>
  <c r="J59" i="12"/>
  <c r="J48" i="12"/>
  <c r="J35" i="12"/>
  <c r="J34" i="12"/>
  <c r="I430" i="12"/>
  <c r="E430" i="12"/>
  <c r="F430" i="12" s="1"/>
  <c r="I420" i="12"/>
  <c r="F420" i="12"/>
  <c r="I419" i="12"/>
  <c r="F419" i="12"/>
  <c r="I418" i="12"/>
  <c r="F418" i="12"/>
  <c r="I417" i="12"/>
  <c r="F417" i="12"/>
  <c r="I416" i="12"/>
  <c r="E416" i="12"/>
  <c r="F416" i="12" s="1"/>
  <c r="I406" i="12"/>
  <c r="F406" i="12"/>
  <c r="I405" i="12"/>
  <c r="E405" i="12"/>
  <c r="F405" i="12" s="1"/>
  <c r="I395" i="12"/>
  <c r="F395" i="12"/>
  <c r="I394" i="12"/>
  <c r="F394" i="12"/>
  <c r="I393" i="12"/>
  <c r="F393" i="12"/>
  <c r="I392" i="12"/>
  <c r="F392" i="12"/>
  <c r="I391" i="12"/>
  <c r="F391"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60" i="12"/>
  <c r="F360" i="12"/>
  <c r="I359" i="12"/>
  <c r="F359" i="12"/>
  <c r="I358" i="12"/>
  <c r="F358" i="12"/>
  <c r="I357" i="12"/>
  <c r="E357" i="12"/>
  <c r="F357" i="12" s="1"/>
  <c r="I334" i="12"/>
  <c r="F334" i="12"/>
  <c r="I333" i="12"/>
  <c r="F333" i="12"/>
  <c r="I323" i="12"/>
  <c r="E323" i="12"/>
  <c r="F323" i="12" s="1"/>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E296" i="12"/>
  <c r="F296" i="12" s="1"/>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E248" i="12"/>
  <c r="F248" i="12" s="1"/>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E205" i="12"/>
  <c r="F205" i="12" s="1"/>
  <c r="I174" i="12"/>
  <c r="F174" i="12"/>
  <c r="I173" i="12"/>
  <c r="F173" i="12"/>
  <c r="I172" i="12"/>
  <c r="F172" i="12"/>
  <c r="I171" i="12"/>
  <c r="F171" i="12"/>
  <c r="I170" i="12"/>
  <c r="F170" i="12"/>
  <c r="I169" i="12"/>
  <c r="F169" i="12"/>
  <c r="I168" i="12"/>
  <c r="E168" i="12"/>
  <c r="F168" i="12" s="1"/>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E107" i="12"/>
  <c r="F107" i="12" s="1"/>
  <c r="I84" i="12"/>
  <c r="F84" i="12"/>
  <c r="I83" i="12"/>
  <c r="E83" i="12"/>
  <c r="F83" i="12" s="1"/>
  <c r="I73" i="12"/>
  <c r="F73" i="12"/>
  <c r="I72" i="12"/>
  <c r="E72" i="12"/>
  <c r="F72" i="12" s="1"/>
  <c r="I62" i="12"/>
  <c r="F62" i="12"/>
  <c r="I61" i="12"/>
  <c r="F61" i="12"/>
  <c r="I60" i="12"/>
  <c r="F60" i="12"/>
  <c r="I59" i="12"/>
  <c r="F59" i="12"/>
  <c r="I58" i="12"/>
  <c r="E58" i="12"/>
  <c r="F58" i="12" s="1"/>
  <c r="I48" i="12"/>
  <c r="F48" i="12"/>
  <c r="I47" i="12"/>
  <c r="F47" i="12"/>
  <c r="I46" i="12"/>
  <c r="F46" i="12"/>
  <c r="I45" i="12"/>
  <c r="E45" i="12"/>
  <c r="F45" i="12" s="1"/>
  <c r="I35" i="12"/>
  <c r="F35" i="12"/>
  <c r="I34" i="12"/>
  <c r="F34" i="12"/>
  <c r="I33" i="12"/>
  <c r="F33" i="12"/>
  <c r="I32" i="12"/>
  <c r="E32" i="12"/>
  <c r="F32" i="12" s="1"/>
  <c r="J28" i="10"/>
  <c r="J40" i="10"/>
  <c r="J62" i="10"/>
  <c r="J61" i="10"/>
  <c r="J80" i="10"/>
  <c r="J79" i="10"/>
  <c r="J78" i="10"/>
  <c r="J77" i="10"/>
  <c r="J74" i="10"/>
  <c r="J73" i="10"/>
  <c r="J103" i="10"/>
  <c r="J102" i="10"/>
  <c r="J101" i="10"/>
  <c r="J100" i="10"/>
  <c r="J99" i="10"/>
  <c r="J98" i="10"/>
  <c r="J97" i="10"/>
  <c r="J96" i="10"/>
  <c r="J95" i="10"/>
  <c r="J94" i="10"/>
  <c r="J93" i="10"/>
  <c r="J92" i="10"/>
  <c r="J91" i="10"/>
  <c r="J126" i="10"/>
  <c r="J125" i="10"/>
  <c r="J124" i="10"/>
  <c r="J123" i="10"/>
  <c r="J122" i="10"/>
  <c r="J121" i="10"/>
  <c r="J120" i="10"/>
  <c r="J119" i="10"/>
  <c r="J118" i="10"/>
  <c r="J117" i="10"/>
  <c r="J116" i="10"/>
  <c r="J115" i="10"/>
  <c r="J114" i="10"/>
  <c r="I126" i="10"/>
  <c r="F126" i="10"/>
  <c r="I125" i="10"/>
  <c r="F125" i="10"/>
  <c r="I124" i="10"/>
  <c r="F124" i="10"/>
  <c r="I123" i="10"/>
  <c r="F123" i="10"/>
  <c r="I122" i="10"/>
  <c r="F122" i="10"/>
  <c r="I121" i="10"/>
  <c r="F121" i="10"/>
  <c r="I120" i="10"/>
  <c r="F120" i="10"/>
  <c r="I119" i="10"/>
  <c r="F119" i="10"/>
  <c r="I118" i="10"/>
  <c r="F118" i="10"/>
  <c r="I117" i="10"/>
  <c r="F117" i="10"/>
  <c r="I116" i="10"/>
  <c r="F116" i="10"/>
  <c r="I115" i="10"/>
  <c r="F115" i="10"/>
  <c r="I114" i="10"/>
  <c r="E114" i="10"/>
  <c r="F114" i="10" s="1"/>
  <c r="I113" i="10"/>
  <c r="E113" i="10"/>
  <c r="F113" i="10" s="1"/>
  <c r="I103" i="10"/>
  <c r="F103" i="10"/>
  <c r="I102" i="10"/>
  <c r="F102" i="10"/>
  <c r="I101" i="10"/>
  <c r="F101" i="10"/>
  <c r="I100" i="10"/>
  <c r="F100" i="10"/>
  <c r="I99" i="10"/>
  <c r="F99" i="10"/>
  <c r="I98" i="10"/>
  <c r="F98" i="10"/>
  <c r="I97" i="10"/>
  <c r="F97" i="10"/>
  <c r="I96" i="10"/>
  <c r="F96" i="10"/>
  <c r="I95" i="10"/>
  <c r="F95" i="10"/>
  <c r="I94" i="10"/>
  <c r="F94" i="10"/>
  <c r="I93" i="10"/>
  <c r="F93" i="10"/>
  <c r="I92" i="10"/>
  <c r="F92" i="10"/>
  <c r="I91" i="10"/>
  <c r="E91" i="10"/>
  <c r="F91" i="10" s="1"/>
  <c r="I90" i="10"/>
  <c r="E90" i="10"/>
  <c r="F90" i="10" s="1"/>
  <c r="I80" i="10"/>
  <c r="F80" i="10"/>
  <c r="I79" i="10"/>
  <c r="F79" i="10"/>
  <c r="I78" i="10"/>
  <c r="F78" i="10"/>
  <c r="I77" i="10"/>
  <c r="F77" i="10"/>
  <c r="I74" i="10"/>
  <c r="F74" i="10"/>
  <c r="I73" i="10"/>
  <c r="F73" i="10"/>
  <c r="I72" i="10"/>
  <c r="F72" i="10"/>
  <c r="I62" i="10"/>
  <c r="F62" i="10"/>
  <c r="I61" i="10"/>
  <c r="F61" i="10"/>
  <c r="I60" i="10"/>
  <c r="E60" i="10"/>
  <c r="F60" i="10" s="1"/>
  <c r="I50" i="10"/>
  <c r="F50" i="10"/>
  <c r="I40" i="10"/>
  <c r="F40" i="10"/>
  <c r="I39" i="10"/>
  <c r="E39" i="10"/>
  <c r="F39" i="10" s="1"/>
  <c r="I28" i="10"/>
  <c r="F28" i="10"/>
  <c r="I27" i="10"/>
  <c r="E27" i="10"/>
  <c r="F27" i="10" s="1"/>
  <c r="J173" i="9"/>
  <c r="J172" i="9"/>
  <c r="J171" i="9"/>
  <c r="J170" i="9"/>
  <c r="J169" i="9"/>
  <c r="J168" i="9"/>
  <c r="J167" i="9"/>
  <c r="J166" i="9"/>
  <c r="J165" i="9"/>
  <c r="J154" i="9"/>
  <c r="J153" i="9"/>
  <c r="J152" i="9"/>
  <c r="J151" i="9"/>
  <c r="J150" i="9"/>
  <c r="J149" i="9"/>
  <c r="J148" i="9"/>
  <c r="J147" i="9"/>
  <c r="J146" i="9"/>
  <c r="J135" i="9"/>
  <c r="J134" i="9"/>
  <c r="J133" i="9"/>
  <c r="J132" i="9"/>
  <c r="J131" i="9"/>
  <c r="J130" i="9"/>
  <c r="J129" i="9"/>
  <c r="J128" i="9"/>
  <c r="J127" i="9"/>
  <c r="J102" i="9"/>
  <c r="J101" i="9"/>
  <c r="J100" i="9"/>
  <c r="J99" i="9"/>
  <c r="J98" i="9"/>
  <c r="J41" i="9"/>
  <c r="I173" i="9"/>
  <c r="F173" i="9"/>
  <c r="I172" i="9"/>
  <c r="F172" i="9"/>
  <c r="I171" i="9"/>
  <c r="F171" i="9"/>
  <c r="I170" i="9"/>
  <c r="F170" i="9"/>
  <c r="I169" i="9"/>
  <c r="F169" i="9"/>
  <c r="I168" i="9"/>
  <c r="F168" i="9"/>
  <c r="I167" i="9"/>
  <c r="F167" i="9"/>
  <c r="I166" i="9"/>
  <c r="F166" i="9"/>
  <c r="I165" i="9"/>
  <c r="F165" i="9"/>
  <c r="I164" i="9"/>
  <c r="F164" i="9"/>
  <c r="I154" i="9"/>
  <c r="F154" i="9"/>
  <c r="I153" i="9"/>
  <c r="F153" i="9"/>
  <c r="I152" i="9"/>
  <c r="F152" i="9"/>
  <c r="I151" i="9"/>
  <c r="F151" i="9"/>
  <c r="I150" i="9"/>
  <c r="F150" i="9"/>
  <c r="I149" i="9"/>
  <c r="F149" i="9"/>
  <c r="I148" i="9"/>
  <c r="F148" i="9"/>
  <c r="I147" i="9"/>
  <c r="F147" i="9"/>
  <c r="I146" i="9"/>
  <c r="F146" i="9"/>
  <c r="I145" i="9"/>
  <c r="F145" i="9"/>
  <c r="I135" i="9"/>
  <c r="F135" i="9"/>
  <c r="I134" i="9"/>
  <c r="F134" i="9"/>
  <c r="I133" i="9"/>
  <c r="F133" i="9"/>
  <c r="I132" i="9"/>
  <c r="F132" i="9"/>
  <c r="I131" i="9"/>
  <c r="F131" i="9"/>
  <c r="I130" i="9"/>
  <c r="F130" i="9"/>
  <c r="I129" i="9"/>
  <c r="F129" i="9"/>
  <c r="I128" i="9"/>
  <c r="F128" i="9"/>
  <c r="I127" i="9"/>
  <c r="F127" i="9"/>
  <c r="I126" i="9"/>
  <c r="F126" i="9"/>
  <c r="I116" i="9"/>
  <c r="F116" i="9"/>
  <c r="I115" i="9"/>
  <c r="F115" i="9"/>
  <c r="I114" i="9"/>
  <c r="F114" i="9"/>
  <c r="I113" i="9"/>
  <c r="F113" i="9"/>
  <c r="I103" i="9"/>
  <c r="F103" i="9"/>
  <c r="I102" i="9"/>
  <c r="F102" i="9"/>
  <c r="I101" i="9"/>
  <c r="F101" i="9"/>
  <c r="I100" i="9"/>
  <c r="F100" i="9"/>
  <c r="I99" i="9"/>
  <c r="F99" i="9"/>
  <c r="I98" i="9"/>
  <c r="F98" i="9"/>
  <c r="I97" i="9"/>
  <c r="F97" i="9"/>
  <c r="I87" i="9"/>
  <c r="F87" i="9"/>
  <c r="I77" i="9"/>
  <c r="F77" i="9"/>
  <c r="I76" i="9"/>
  <c r="F76" i="9"/>
  <c r="I75" i="9"/>
  <c r="F75" i="9"/>
  <c r="I74" i="9"/>
  <c r="F74" i="9"/>
  <c r="I64" i="9"/>
  <c r="F64" i="9"/>
  <c r="I54" i="9"/>
  <c r="F54" i="9"/>
  <c r="J44" i="9"/>
  <c r="I44" i="9"/>
  <c r="F44" i="9"/>
  <c r="J43" i="9"/>
  <c r="I43" i="9"/>
  <c r="F43" i="9"/>
  <c r="J42" i="9"/>
  <c r="I42" i="9"/>
  <c r="F42" i="9"/>
  <c r="I41" i="9"/>
  <c r="F41" i="9"/>
  <c r="I40" i="9"/>
  <c r="F40" i="9"/>
  <c r="I30" i="9"/>
  <c r="F30" i="9"/>
  <c r="K917" i="8"/>
  <c r="K916" i="8"/>
  <c r="K915" i="8"/>
  <c r="K914" i="8"/>
  <c r="K913" i="8"/>
  <c r="K912" i="8"/>
  <c r="K911" i="8"/>
  <c r="K910" i="8"/>
  <c r="K909" i="8"/>
  <c r="K90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57" i="8"/>
  <c r="K856" i="8"/>
  <c r="K855" i="8"/>
  <c r="K854" i="8"/>
  <c r="K853" i="8"/>
  <c r="K852" i="8"/>
  <c r="K851" i="8"/>
  <c r="K850" i="8"/>
  <c r="K849" i="8"/>
  <c r="K84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797" i="8"/>
  <c r="K796" i="8"/>
  <c r="K795" i="8"/>
  <c r="K794" i="8"/>
  <c r="K793" i="8"/>
  <c r="K792" i="8"/>
  <c r="K791" i="8"/>
  <c r="K790" i="8"/>
  <c r="K789" i="8"/>
  <c r="K78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37" i="8"/>
  <c r="K736" i="8"/>
  <c r="K735" i="8"/>
  <c r="K734" i="8"/>
  <c r="K733" i="8"/>
  <c r="K732" i="8"/>
  <c r="K731" i="8"/>
  <c r="K730" i="8"/>
  <c r="K729" i="8"/>
  <c r="K72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77" i="8"/>
  <c r="K676" i="8"/>
  <c r="K675" i="8"/>
  <c r="K674" i="8"/>
  <c r="K673" i="8"/>
  <c r="K672" i="8"/>
  <c r="K671" i="8"/>
  <c r="K670" i="8"/>
  <c r="K669" i="8"/>
  <c r="K66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17" i="8"/>
  <c r="K616" i="8"/>
  <c r="K615" i="8"/>
  <c r="K614" i="8"/>
  <c r="K613" i="8"/>
  <c r="K612" i="8"/>
  <c r="K611" i="8"/>
  <c r="K610" i="8"/>
  <c r="K609" i="8"/>
  <c r="K60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57" i="8"/>
  <c r="K556" i="8"/>
  <c r="K555" i="8"/>
  <c r="K554" i="8"/>
  <c r="K553" i="8"/>
  <c r="K552" i="8"/>
  <c r="K551" i="8"/>
  <c r="K550" i="8"/>
  <c r="K549" i="8"/>
  <c r="K54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497" i="8"/>
  <c r="K496"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37" i="8"/>
  <c r="K436" i="8"/>
  <c r="K435" i="8"/>
  <c r="K434" i="8"/>
  <c r="K433" i="8"/>
  <c r="K432" i="8"/>
  <c r="K431" i="8"/>
  <c r="K430" i="8"/>
  <c r="K429" i="8"/>
  <c r="K42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J917" i="8"/>
  <c r="J916" i="8"/>
  <c r="J915" i="8"/>
  <c r="G915" i="8"/>
  <c r="F917" i="8" s="1"/>
  <c r="G917" i="8" s="1"/>
  <c r="J914" i="8"/>
  <c r="G914" i="8"/>
  <c r="J913" i="8"/>
  <c r="G913" i="8"/>
  <c r="J912" i="8"/>
  <c r="G912" i="8"/>
  <c r="J911" i="8"/>
  <c r="J910" i="8"/>
  <c r="J909" i="8"/>
  <c r="G909" i="8"/>
  <c r="F911" i="8" s="1"/>
  <c r="G911" i="8" s="1"/>
  <c r="J908" i="8"/>
  <c r="J907" i="8"/>
  <c r="J906" i="8"/>
  <c r="F906" i="8"/>
  <c r="G906" i="8" s="1"/>
  <c r="J905" i="8"/>
  <c r="J904" i="8"/>
  <c r="J903" i="8"/>
  <c r="F903" i="8"/>
  <c r="G903" i="8" s="1"/>
  <c r="J902" i="8"/>
  <c r="J901" i="8"/>
  <c r="J900" i="8"/>
  <c r="F900" i="8"/>
  <c r="G900" i="8" s="1"/>
  <c r="J899" i="8"/>
  <c r="J898" i="8"/>
  <c r="J897" i="8"/>
  <c r="F897" i="8"/>
  <c r="G897" i="8" s="1"/>
  <c r="J896" i="8"/>
  <c r="J895" i="8"/>
  <c r="J894" i="8"/>
  <c r="F894" i="8"/>
  <c r="G894" i="8" s="1"/>
  <c r="J893" i="8"/>
  <c r="J892" i="8"/>
  <c r="J891" i="8"/>
  <c r="F891" i="8"/>
  <c r="G891" i="8" s="1"/>
  <c r="J890" i="8"/>
  <c r="J889" i="8"/>
  <c r="J888" i="8"/>
  <c r="F888" i="8"/>
  <c r="G888" i="8" s="1"/>
  <c r="J887" i="8"/>
  <c r="J886" i="8"/>
  <c r="J885" i="8"/>
  <c r="F885" i="8"/>
  <c r="G885" i="8" s="1"/>
  <c r="J884" i="8"/>
  <c r="J883" i="8"/>
  <c r="J882" i="8"/>
  <c r="F882" i="8"/>
  <c r="G882" i="8" s="1"/>
  <c r="J881" i="8"/>
  <c r="J880" i="8"/>
  <c r="J879" i="8"/>
  <c r="F879" i="8"/>
  <c r="G879" i="8" s="1"/>
  <c r="J878" i="8"/>
  <c r="J877" i="8"/>
  <c r="J876" i="8"/>
  <c r="F876" i="8"/>
  <c r="G876" i="8" s="1"/>
  <c r="J875" i="8"/>
  <c r="J874" i="8"/>
  <c r="J873" i="8"/>
  <c r="F873" i="8"/>
  <c r="G873" i="8" s="1"/>
  <c r="J872" i="8"/>
  <c r="J871" i="8"/>
  <c r="J870" i="8"/>
  <c r="F870" i="8"/>
  <c r="G870" i="8" s="1"/>
  <c r="J869" i="8"/>
  <c r="J868" i="8"/>
  <c r="J867" i="8"/>
  <c r="F867" i="8"/>
  <c r="G867" i="8" s="1"/>
  <c r="J857" i="8"/>
  <c r="J856" i="8"/>
  <c r="J855" i="8"/>
  <c r="G855" i="8"/>
  <c r="F856" i="8" s="1"/>
  <c r="G856" i="8" s="1"/>
  <c r="J854" i="8"/>
  <c r="G854" i="8"/>
  <c r="J853" i="8"/>
  <c r="G853" i="8"/>
  <c r="J852" i="8"/>
  <c r="G852" i="8"/>
  <c r="J851" i="8"/>
  <c r="J850" i="8"/>
  <c r="J849" i="8"/>
  <c r="G849" i="8"/>
  <c r="F850" i="8" s="1"/>
  <c r="G850" i="8" s="1"/>
  <c r="J848" i="8"/>
  <c r="J847" i="8"/>
  <c r="J846" i="8"/>
  <c r="F846" i="8"/>
  <c r="G846" i="8" s="1"/>
  <c r="J845" i="8"/>
  <c r="J844" i="8"/>
  <c r="J843" i="8"/>
  <c r="F843" i="8"/>
  <c r="G843" i="8" s="1"/>
  <c r="J842" i="8"/>
  <c r="J841" i="8"/>
  <c r="J840" i="8"/>
  <c r="F840" i="8"/>
  <c r="G840" i="8" s="1"/>
  <c r="J839" i="8"/>
  <c r="J838" i="8"/>
  <c r="J837" i="8"/>
  <c r="F837" i="8"/>
  <c r="G837" i="8" s="1"/>
  <c r="J836" i="8"/>
  <c r="J835" i="8"/>
  <c r="J834" i="8"/>
  <c r="F834" i="8"/>
  <c r="G834" i="8" s="1"/>
  <c r="J833" i="8"/>
  <c r="J832" i="8"/>
  <c r="J831" i="8"/>
  <c r="F831" i="8"/>
  <c r="G831" i="8" s="1"/>
  <c r="J830" i="8"/>
  <c r="J829" i="8"/>
  <c r="J828" i="8"/>
  <c r="F828" i="8"/>
  <c r="G828" i="8" s="1"/>
  <c r="J827" i="8"/>
  <c r="J826" i="8"/>
  <c r="J825" i="8"/>
  <c r="F825" i="8"/>
  <c r="G825" i="8" s="1"/>
  <c r="J824" i="8"/>
  <c r="J823" i="8"/>
  <c r="J822" i="8"/>
  <c r="F822" i="8"/>
  <c r="G822" i="8" s="1"/>
  <c r="J821" i="8"/>
  <c r="J820" i="8"/>
  <c r="J819" i="8"/>
  <c r="F819" i="8"/>
  <c r="G819" i="8" s="1"/>
  <c r="J818" i="8"/>
  <c r="J817" i="8"/>
  <c r="J816" i="8"/>
  <c r="F816" i="8"/>
  <c r="G816" i="8" s="1"/>
  <c r="J815" i="8"/>
  <c r="J814" i="8"/>
  <c r="J813" i="8"/>
  <c r="F813" i="8"/>
  <c r="G813" i="8" s="1"/>
  <c r="J812" i="8"/>
  <c r="J811" i="8"/>
  <c r="J810" i="8"/>
  <c r="F810" i="8"/>
  <c r="G810" i="8" s="1"/>
  <c r="J809" i="8"/>
  <c r="J808" i="8"/>
  <c r="J807" i="8"/>
  <c r="F807" i="8"/>
  <c r="G807" i="8" s="1"/>
  <c r="J797" i="8"/>
  <c r="J796" i="8"/>
  <c r="J795" i="8"/>
  <c r="G795" i="8"/>
  <c r="F797" i="8" s="1"/>
  <c r="G797" i="8" s="1"/>
  <c r="J794" i="8"/>
  <c r="G794" i="8"/>
  <c r="J793" i="8"/>
  <c r="G793" i="8"/>
  <c r="J792" i="8"/>
  <c r="G792" i="8"/>
  <c r="J791" i="8"/>
  <c r="J790" i="8"/>
  <c r="J789" i="8"/>
  <c r="G789" i="8"/>
  <c r="F791" i="8" s="1"/>
  <c r="G791" i="8" s="1"/>
  <c r="J788" i="8"/>
  <c r="J787" i="8"/>
  <c r="J786" i="8"/>
  <c r="F786" i="8"/>
  <c r="G786" i="8" s="1"/>
  <c r="J785" i="8"/>
  <c r="J784" i="8"/>
  <c r="J783" i="8"/>
  <c r="F783" i="8"/>
  <c r="G783" i="8" s="1"/>
  <c r="J782" i="8"/>
  <c r="J781" i="8"/>
  <c r="J780" i="8"/>
  <c r="F780" i="8"/>
  <c r="G780" i="8" s="1"/>
  <c r="J779" i="8"/>
  <c r="J778" i="8"/>
  <c r="J777" i="8"/>
  <c r="F777" i="8"/>
  <c r="G777" i="8" s="1"/>
  <c r="J776" i="8"/>
  <c r="J775" i="8"/>
  <c r="J774" i="8"/>
  <c r="F774" i="8"/>
  <c r="G774" i="8" s="1"/>
  <c r="J773" i="8"/>
  <c r="J772" i="8"/>
  <c r="J771" i="8"/>
  <c r="F771" i="8"/>
  <c r="G771" i="8" s="1"/>
  <c r="J770" i="8"/>
  <c r="J769" i="8"/>
  <c r="J768" i="8"/>
  <c r="F768" i="8"/>
  <c r="G768" i="8" s="1"/>
  <c r="J767" i="8"/>
  <c r="J766" i="8"/>
  <c r="J765" i="8"/>
  <c r="F765" i="8"/>
  <c r="G765" i="8" s="1"/>
  <c r="J764" i="8"/>
  <c r="J763" i="8"/>
  <c r="J762" i="8"/>
  <c r="F762" i="8"/>
  <c r="G762" i="8" s="1"/>
  <c r="J761" i="8"/>
  <c r="J760" i="8"/>
  <c r="J759" i="8"/>
  <c r="F759" i="8"/>
  <c r="G759" i="8" s="1"/>
  <c r="J758" i="8"/>
  <c r="J757" i="8"/>
  <c r="J756" i="8"/>
  <c r="F756" i="8"/>
  <c r="G756" i="8" s="1"/>
  <c r="J755" i="8"/>
  <c r="J754" i="8"/>
  <c r="J753" i="8"/>
  <c r="F753" i="8"/>
  <c r="G753" i="8" s="1"/>
  <c r="F755" i="8" s="1"/>
  <c r="G755" i="8" s="1"/>
  <c r="J752" i="8"/>
  <c r="J751" i="8"/>
  <c r="J750" i="8"/>
  <c r="F750" i="8"/>
  <c r="G750" i="8" s="1"/>
  <c r="F751" i="8" s="1"/>
  <c r="G751" i="8" s="1"/>
  <c r="J749" i="8"/>
  <c r="J748" i="8"/>
  <c r="J747" i="8"/>
  <c r="F747" i="8"/>
  <c r="G747" i="8" s="1"/>
  <c r="F748" i="8" s="1"/>
  <c r="G748" i="8" s="1"/>
  <c r="J737" i="8"/>
  <c r="J736" i="8"/>
  <c r="J735" i="8"/>
  <c r="G735" i="8"/>
  <c r="J734" i="8"/>
  <c r="G734" i="8"/>
  <c r="J733" i="8"/>
  <c r="G733" i="8"/>
  <c r="J732" i="8"/>
  <c r="G732" i="8"/>
  <c r="J731" i="8"/>
  <c r="J730" i="8"/>
  <c r="J729" i="8"/>
  <c r="G729" i="8"/>
  <c r="J728" i="8"/>
  <c r="J727" i="8"/>
  <c r="J726" i="8"/>
  <c r="F726" i="8"/>
  <c r="G726" i="8" s="1"/>
  <c r="F728" i="8" s="1"/>
  <c r="G728" i="8" s="1"/>
  <c r="J725" i="8"/>
  <c r="J724" i="8"/>
  <c r="J723" i="8"/>
  <c r="F723" i="8"/>
  <c r="G723" i="8" s="1"/>
  <c r="F725" i="8" s="1"/>
  <c r="G725" i="8" s="1"/>
  <c r="J722" i="8"/>
  <c r="J721" i="8"/>
  <c r="J720" i="8"/>
  <c r="F720" i="8"/>
  <c r="G720" i="8" s="1"/>
  <c r="F721" i="8" s="1"/>
  <c r="G721" i="8" s="1"/>
  <c r="J719" i="8"/>
  <c r="J718" i="8"/>
  <c r="J717" i="8"/>
  <c r="F717" i="8"/>
  <c r="G717" i="8" s="1"/>
  <c r="F719" i="8" s="1"/>
  <c r="G719" i="8" s="1"/>
  <c r="J716" i="8"/>
  <c r="J715" i="8"/>
  <c r="J714" i="8"/>
  <c r="F714" i="8"/>
  <c r="G714" i="8" s="1"/>
  <c r="F715" i="8" s="1"/>
  <c r="G715" i="8" s="1"/>
  <c r="J713" i="8"/>
  <c r="J712" i="8"/>
  <c r="J711" i="8"/>
  <c r="F711" i="8"/>
  <c r="G711" i="8" s="1"/>
  <c r="F713" i="8" s="1"/>
  <c r="G713" i="8" s="1"/>
  <c r="J710" i="8"/>
  <c r="J709" i="8"/>
  <c r="J708" i="8"/>
  <c r="F708" i="8"/>
  <c r="G708" i="8" s="1"/>
  <c r="F709" i="8" s="1"/>
  <c r="G709" i="8" s="1"/>
  <c r="J707" i="8"/>
  <c r="J706" i="8"/>
  <c r="J705" i="8"/>
  <c r="F705" i="8"/>
  <c r="G705" i="8" s="1"/>
  <c r="F707" i="8" s="1"/>
  <c r="G707" i="8" s="1"/>
  <c r="J704" i="8"/>
  <c r="J703" i="8"/>
  <c r="J702" i="8"/>
  <c r="F702" i="8"/>
  <c r="G702" i="8" s="1"/>
  <c r="F704" i="8" s="1"/>
  <c r="G704" i="8" s="1"/>
  <c r="J701" i="8"/>
  <c r="J700" i="8"/>
  <c r="J699" i="8"/>
  <c r="F699" i="8"/>
  <c r="G699" i="8" s="1"/>
  <c r="F701" i="8" s="1"/>
  <c r="G701" i="8" s="1"/>
  <c r="J698" i="8"/>
  <c r="J697" i="8"/>
  <c r="J696" i="8"/>
  <c r="F696" i="8"/>
  <c r="G696" i="8" s="1"/>
  <c r="F697" i="8" s="1"/>
  <c r="G697" i="8" s="1"/>
  <c r="J695" i="8"/>
  <c r="J694" i="8"/>
  <c r="J693" i="8"/>
  <c r="F693" i="8"/>
  <c r="G693" i="8" s="1"/>
  <c r="F694" i="8" s="1"/>
  <c r="G694" i="8" s="1"/>
  <c r="J692" i="8"/>
  <c r="J691" i="8"/>
  <c r="J690" i="8"/>
  <c r="F690" i="8"/>
  <c r="G690" i="8" s="1"/>
  <c r="F692" i="8" s="1"/>
  <c r="G692" i="8" s="1"/>
  <c r="J689" i="8"/>
  <c r="J688" i="8"/>
  <c r="J687" i="8"/>
  <c r="F687" i="8"/>
  <c r="G687" i="8" s="1"/>
  <c r="F688" i="8" s="1"/>
  <c r="G688" i="8" s="1"/>
  <c r="J677" i="8"/>
  <c r="J676" i="8"/>
  <c r="J675" i="8"/>
  <c r="G675" i="8"/>
  <c r="F677" i="8" s="1"/>
  <c r="G677" i="8" s="1"/>
  <c r="J674" i="8"/>
  <c r="G674" i="8"/>
  <c r="J673" i="8"/>
  <c r="G673" i="8"/>
  <c r="J672" i="8"/>
  <c r="G672" i="8"/>
  <c r="J671" i="8"/>
  <c r="J670" i="8"/>
  <c r="J669" i="8"/>
  <c r="G669" i="8"/>
  <c r="F671" i="8" s="1"/>
  <c r="G671" i="8" s="1"/>
  <c r="J668" i="8"/>
  <c r="J667" i="8"/>
  <c r="J666" i="8"/>
  <c r="F666" i="8"/>
  <c r="G666" i="8" s="1"/>
  <c r="F668" i="8" s="1"/>
  <c r="G668" i="8" s="1"/>
  <c r="J665" i="8"/>
  <c r="J664" i="8"/>
  <c r="J663" i="8"/>
  <c r="F663" i="8"/>
  <c r="G663" i="8" s="1"/>
  <c r="F665" i="8" s="1"/>
  <c r="G665" i="8" s="1"/>
  <c r="J662" i="8"/>
  <c r="J661" i="8"/>
  <c r="J660" i="8"/>
  <c r="F660" i="8"/>
  <c r="G660" i="8" s="1"/>
  <c r="F662" i="8" s="1"/>
  <c r="G662" i="8" s="1"/>
  <c r="J659" i="8"/>
  <c r="J658" i="8"/>
  <c r="J657" i="8"/>
  <c r="F657" i="8"/>
  <c r="G657" i="8" s="1"/>
  <c r="F659" i="8" s="1"/>
  <c r="G659" i="8" s="1"/>
  <c r="J656" i="8"/>
  <c r="J655" i="8"/>
  <c r="J654" i="8"/>
  <c r="F654" i="8"/>
  <c r="G654" i="8" s="1"/>
  <c r="F656" i="8" s="1"/>
  <c r="G656" i="8" s="1"/>
  <c r="J653" i="8"/>
  <c r="J652" i="8"/>
  <c r="J651" i="8"/>
  <c r="F651" i="8"/>
  <c r="G651" i="8" s="1"/>
  <c r="F653" i="8" s="1"/>
  <c r="G653" i="8" s="1"/>
  <c r="J650" i="8"/>
  <c r="J649" i="8"/>
  <c r="J648" i="8"/>
  <c r="F648" i="8"/>
  <c r="G648" i="8" s="1"/>
  <c r="F650" i="8" s="1"/>
  <c r="G650" i="8" s="1"/>
  <c r="J647" i="8"/>
  <c r="J646" i="8"/>
  <c r="J645" i="8"/>
  <c r="F645" i="8"/>
  <c r="G645" i="8" s="1"/>
  <c r="F647" i="8" s="1"/>
  <c r="G647" i="8" s="1"/>
  <c r="J644" i="8"/>
  <c r="J643" i="8"/>
  <c r="J642" i="8"/>
  <c r="F642" i="8"/>
  <c r="G642" i="8" s="1"/>
  <c r="F644" i="8" s="1"/>
  <c r="G644" i="8" s="1"/>
  <c r="J641" i="8"/>
  <c r="J640" i="8"/>
  <c r="J639" i="8"/>
  <c r="F639" i="8"/>
  <c r="G639" i="8" s="1"/>
  <c r="F641" i="8" s="1"/>
  <c r="G641" i="8" s="1"/>
  <c r="J638" i="8"/>
  <c r="J637" i="8"/>
  <c r="J636" i="8"/>
  <c r="F636" i="8"/>
  <c r="G636" i="8" s="1"/>
  <c r="F638" i="8" s="1"/>
  <c r="G638" i="8" s="1"/>
  <c r="J635" i="8"/>
  <c r="J634" i="8"/>
  <c r="J633" i="8"/>
  <c r="F633" i="8"/>
  <c r="G633" i="8" s="1"/>
  <c r="F635" i="8" s="1"/>
  <c r="G635" i="8" s="1"/>
  <c r="J632" i="8"/>
  <c r="J631" i="8"/>
  <c r="J630" i="8"/>
  <c r="F630" i="8"/>
  <c r="G630" i="8" s="1"/>
  <c r="F632" i="8" s="1"/>
  <c r="G632" i="8" s="1"/>
  <c r="J629" i="8"/>
  <c r="J628" i="8"/>
  <c r="J627" i="8"/>
  <c r="F627" i="8"/>
  <c r="G627" i="8" s="1"/>
  <c r="J617" i="8"/>
  <c r="J616" i="8"/>
  <c r="J615" i="8"/>
  <c r="G615" i="8"/>
  <c r="F616" i="8" s="1"/>
  <c r="G616" i="8" s="1"/>
  <c r="J614" i="8"/>
  <c r="G614" i="8"/>
  <c r="J613" i="8"/>
  <c r="G613" i="8"/>
  <c r="J612" i="8"/>
  <c r="G612" i="8"/>
  <c r="J611" i="8"/>
  <c r="J610" i="8"/>
  <c r="J609" i="8"/>
  <c r="G609" i="8"/>
  <c r="F610" i="8" s="1"/>
  <c r="G610" i="8" s="1"/>
  <c r="J608" i="8"/>
  <c r="J607" i="8"/>
  <c r="J606" i="8"/>
  <c r="F606" i="8"/>
  <c r="G606" i="8" s="1"/>
  <c r="F608" i="8" s="1"/>
  <c r="G608" i="8" s="1"/>
  <c r="J605" i="8"/>
  <c r="J604" i="8"/>
  <c r="J603" i="8"/>
  <c r="F603" i="8"/>
  <c r="G603" i="8" s="1"/>
  <c r="F605" i="8" s="1"/>
  <c r="G605" i="8" s="1"/>
  <c r="J602" i="8"/>
  <c r="J601" i="8"/>
  <c r="J600" i="8"/>
  <c r="F600" i="8"/>
  <c r="G600" i="8" s="1"/>
  <c r="F602" i="8" s="1"/>
  <c r="G602" i="8" s="1"/>
  <c r="J599" i="8"/>
  <c r="J598" i="8"/>
  <c r="J597" i="8"/>
  <c r="F597" i="8"/>
  <c r="G597" i="8" s="1"/>
  <c r="F599" i="8" s="1"/>
  <c r="G599" i="8" s="1"/>
  <c r="J596" i="8"/>
  <c r="J595" i="8"/>
  <c r="J594" i="8"/>
  <c r="F594" i="8"/>
  <c r="G594" i="8" s="1"/>
  <c r="F596" i="8" s="1"/>
  <c r="G596" i="8" s="1"/>
  <c r="J593" i="8"/>
  <c r="J592" i="8"/>
  <c r="J591" i="8"/>
  <c r="F591" i="8"/>
  <c r="G591" i="8" s="1"/>
  <c r="F593" i="8" s="1"/>
  <c r="G593" i="8" s="1"/>
  <c r="J590" i="8"/>
  <c r="J589" i="8"/>
  <c r="J588" i="8"/>
  <c r="F588" i="8"/>
  <c r="G588" i="8" s="1"/>
  <c r="F590" i="8" s="1"/>
  <c r="G590" i="8" s="1"/>
  <c r="J587" i="8"/>
  <c r="J586" i="8"/>
  <c r="J585" i="8"/>
  <c r="F585" i="8"/>
  <c r="G585" i="8" s="1"/>
  <c r="F587" i="8" s="1"/>
  <c r="G587" i="8" s="1"/>
  <c r="J584" i="8"/>
  <c r="J583" i="8"/>
  <c r="J582" i="8"/>
  <c r="F582" i="8"/>
  <c r="G582" i="8" s="1"/>
  <c r="F584" i="8" s="1"/>
  <c r="G584" i="8" s="1"/>
  <c r="J581" i="8"/>
  <c r="J580" i="8"/>
  <c r="J579" i="8"/>
  <c r="F579" i="8"/>
  <c r="G579" i="8" s="1"/>
  <c r="F581" i="8" s="1"/>
  <c r="G581" i="8" s="1"/>
  <c r="J578" i="8"/>
  <c r="J577" i="8"/>
  <c r="J576" i="8"/>
  <c r="F576" i="8"/>
  <c r="G576" i="8" s="1"/>
  <c r="F578" i="8" s="1"/>
  <c r="G578" i="8" s="1"/>
  <c r="J575" i="8"/>
  <c r="J574" i="8"/>
  <c r="J573" i="8"/>
  <c r="F573" i="8"/>
  <c r="G573" i="8" s="1"/>
  <c r="F575" i="8" s="1"/>
  <c r="G575" i="8" s="1"/>
  <c r="J572" i="8"/>
  <c r="J571" i="8"/>
  <c r="J570" i="8"/>
  <c r="F570" i="8"/>
  <c r="G570" i="8" s="1"/>
  <c r="F572" i="8" s="1"/>
  <c r="G572" i="8" s="1"/>
  <c r="J569" i="8"/>
  <c r="J568" i="8"/>
  <c r="J567" i="8"/>
  <c r="F567" i="8"/>
  <c r="G567" i="8" s="1"/>
  <c r="J557" i="8"/>
  <c r="J556" i="8"/>
  <c r="J555" i="8"/>
  <c r="G555" i="8"/>
  <c r="F557" i="8" s="1"/>
  <c r="G557" i="8" s="1"/>
  <c r="J554" i="8"/>
  <c r="G554" i="8"/>
  <c r="J553" i="8"/>
  <c r="G553" i="8"/>
  <c r="J552" i="8"/>
  <c r="G552" i="8"/>
  <c r="J551" i="8"/>
  <c r="J550" i="8"/>
  <c r="J549" i="8"/>
  <c r="G549" i="8"/>
  <c r="F551" i="8" s="1"/>
  <c r="G551" i="8" s="1"/>
  <c r="J548" i="8"/>
  <c r="J547" i="8"/>
  <c r="J546" i="8"/>
  <c r="F546" i="8"/>
  <c r="G546" i="8" s="1"/>
  <c r="J545" i="8"/>
  <c r="J544" i="8"/>
  <c r="J543" i="8"/>
  <c r="F543" i="8"/>
  <c r="G543" i="8" s="1"/>
  <c r="J542" i="8"/>
  <c r="J541" i="8"/>
  <c r="J540" i="8"/>
  <c r="F540" i="8"/>
  <c r="G540" i="8" s="1"/>
  <c r="J539" i="8"/>
  <c r="J538" i="8"/>
  <c r="J537" i="8"/>
  <c r="F537" i="8"/>
  <c r="G537" i="8" s="1"/>
  <c r="J536" i="8"/>
  <c r="J535" i="8"/>
  <c r="J534" i="8"/>
  <c r="F534" i="8"/>
  <c r="G534" i="8" s="1"/>
  <c r="J533" i="8"/>
  <c r="J532" i="8"/>
  <c r="J531" i="8"/>
  <c r="F531" i="8"/>
  <c r="G531" i="8" s="1"/>
  <c r="J530" i="8"/>
  <c r="J529" i="8"/>
  <c r="J528" i="8"/>
  <c r="F528" i="8"/>
  <c r="G528" i="8" s="1"/>
  <c r="J527" i="8"/>
  <c r="J526" i="8"/>
  <c r="J525" i="8"/>
  <c r="F525" i="8"/>
  <c r="G525" i="8" s="1"/>
  <c r="J524" i="8"/>
  <c r="J523" i="8"/>
  <c r="J522" i="8"/>
  <c r="F522" i="8"/>
  <c r="G522" i="8" s="1"/>
  <c r="F524" i="8" s="1"/>
  <c r="G524" i="8" s="1"/>
  <c r="J521" i="8"/>
  <c r="J520" i="8"/>
  <c r="J519" i="8"/>
  <c r="F519" i="8"/>
  <c r="G519" i="8" s="1"/>
  <c r="F521" i="8" s="1"/>
  <c r="G521" i="8" s="1"/>
  <c r="J518" i="8"/>
  <c r="J517" i="8"/>
  <c r="J516" i="8"/>
  <c r="F516" i="8"/>
  <c r="G516" i="8" s="1"/>
  <c r="F518" i="8" s="1"/>
  <c r="G518" i="8" s="1"/>
  <c r="J515" i="8"/>
  <c r="J514" i="8"/>
  <c r="J513" i="8"/>
  <c r="F513" i="8"/>
  <c r="G513" i="8" s="1"/>
  <c r="F515" i="8" s="1"/>
  <c r="G515" i="8" s="1"/>
  <c r="J512" i="8"/>
  <c r="J511" i="8"/>
  <c r="J510" i="8"/>
  <c r="F510" i="8"/>
  <c r="G510" i="8" s="1"/>
  <c r="F512" i="8" s="1"/>
  <c r="G512" i="8" s="1"/>
  <c r="J509" i="8"/>
  <c r="J508" i="8"/>
  <c r="J507" i="8"/>
  <c r="F507" i="8"/>
  <c r="G507" i="8" s="1"/>
  <c r="F509" i="8" s="1"/>
  <c r="G509" i="8" s="1"/>
  <c r="J497" i="8"/>
  <c r="J496" i="8"/>
  <c r="J495" i="8"/>
  <c r="G495" i="8"/>
  <c r="F496" i="8" s="1"/>
  <c r="G496" i="8" s="1"/>
  <c r="J494" i="8"/>
  <c r="G494" i="8"/>
  <c r="J493" i="8"/>
  <c r="G493" i="8"/>
  <c r="J492" i="8"/>
  <c r="G492" i="8"/>
  <c r="J491" i="8"/>
  <c r="J490" i="8"/>
  <c r="J489" i="8"/>
  <c r="G489" i="8"/>
  <c r="F491" i="8" s="1"/>
  <c r="G491" i="8" s="1"/>
  <c r="J488" i="8"/>
  <c r="J487" i="8"/>
  <c r="J486" i="8"/>
  <c r="F486" i="8"/>
  <c r="G486" i="8" s="1"/>
  <c r="F488" i="8" s="1"/>
  <c r="G488" i="8" s="1"/>
  <c r="J485" i="8"/>
  <c r="J484" i="8"/>
  <c r="J483" i="8"/>
  <c r="F483" i="8"/>
  <c r="G483" i="8" s="1"/>
  <c r="F485" i="8" s="1"/>
  <c r="G485" i="8" s="1"/>
  <c r="J482" i="8"/>
  <c r="J481" i="8"/>
  <c r="J480" i="8"/>
  <c r="F480" i="8"/>
  <c r="G480" i="8" s="1"/>
  <c r="F482" i="8" s="1"/>
  <c r="G482" i="8" s="1"/>
  <c r="J479" i="8"/>
  <c r="J478" i="8"/>
  <c r="J477" i="8"/>
  <c r="F477" i="8"/>
  <c r="G477" i="8" s="1"/>
  <c r="F479" i="8" s="1"/>
  <c r="G479" i="8" s="1"/>
  <c r="J476" i="8"/>
  <c r="J475" i="8"/>
  <c r="J474" i="8"/>
  <c r="F474" i="8"/>
  <c r="G474" i="8" s="1"/>
  <c r="F476" i="8" s="1"/>
  <c r="G476" i="8" s="1"/>
  <c r="J473" i="8"/>
  <c r="J472" i="8"/>
  <c r="J471" i="8"/>
  <c r="F471" i="8"/>
  <c r="G471" i="8" s="1"/>
  <c r="F473" i="8" s="1"/>
  <c r="G473" i="8" s="1"/>
  <c r="J470" i="8"/>
  <c r="J469" i="8"/>
  <c r="J468" i="8"/>
  <c r="F468" i="8"/>
  <c r="G468" i="8" s="1"/>
  <c r="F470" i="8" s="1"/>
  <c r="G470" i="8" s="1"/>
  <c r="J467" i="8"/>
  <c r="J466" i="8"/>
  <c r="J465" i="8"/>
  <c r="F465" i="8"/>
  <c r="G465" i="8" s="1"/>
  <c r="F467" i="8" s="1"/>
  <c r="G467" i="8" s="1"/>
  <c r="J464" i="8"/>
  <c r="J463" i="8"/>
  <c r="J462" i="8"/>
  <c r="F462" i="8"/>
  <c r="G462" i="8" s="1"/>
  <c r="F464" i="8" s="1"/>
  <c r="G464" i="8" s="1"/>
  <c r="J461" i="8"/>
  <c r="J460" i="8"/>
  <c r="J459" i="8"/>
  <c r="F459" i="8"/>
  <c r="G459" i="8" s="1"/>
  <c r="F461" i="8" s="1"/>
  <c r="G461" i="8" s="1"/>
  <c r="J458" i="8"/>
  <c r="J457" i="8"/>
  <c r="J456" i="8"/>
  <c r="F456" i="8"/>
  <c r="G456" i="8" s="1"/>
  <c r="F458" i="8" s="1"/>
  <c r="G458" i="8" s="1"/>
  <c r="J455" i="8"/>
  <c r="J454" i="8"/>
  <c r="J453" i="8"/>
  <c r="F453" i="8"/>
  <c r="G453" i="8" s="1"/>
  <c r="F455" i="8" s="1"/>
  <c r="G455" i="8" s="1"/>
  <c r="J452" i="8"/>
  <c r="J451" i="8"/>
  <c r="J450" i="8"/>
  <c r="F450" i="8"/>
  <c r="G450" i="8" s="1"/>
  <c r="F452" i="8" s="1"/>
  <c r="G452" i="8" s="1"/>
  <c r="J449" i="8"/>
  <c r="J448" i="8"/>
  <c r="J447" i="8"/>
  <c r="F447" i="8"/>
  <c r="G447" i="8" s="1"/>
  <c r="F449" i="8" s="1"/>
  <c r="G449" i="8" s="1"/>
  <c r="J437" i="8"/>
  <c r="J436" i="8"/>
  <c r="J435" i="8"/>
  <c r="G435" i="8"/>
  <c r="F436" i="8" s="1"/>
  <c r="G436" i="8" s="1"/>
  <c r="J434" i="8"/>
  <c r="G434" i="8"/>
  <c r="J433" i="8"/>
  <c r="G433" i="8"/>
  <c r="J432" i="8"/>
  <c r="G432" i="8"/>
  <c r="J431" i="8"/>
  <c r="J430" i="8"/>
  <c r="J429" i="8"/>
  <c r="G429" i="8"/>
  <c r="F430" i="8" s="1"/>
  <c r="G430" i="8" s="1"/>
  <c r="J428" i="8"/>
  <c r="J427" i="8"/>
  <c r="J426" i="8"/>
  <c r="F426" i="8"/>
  <c r="G426" i="8" s="1"/>
  <c r="J425" i="8"/>
  <c r="J424" i="8"/>
  <c r="J423" i="8"/>
  <c r="F423" i="8"/>
  <c r="G423" i="8" s="1"/>
  <c r="J422" i="8"/>
  <c r="J421" i="8"/>
  <c r="J420" i="8"/>
  <c r="F420" i="8"/>
  <c r="G420" i="8" s="1"/>
  <c r="J419" i="8"/>
  <c r="J418" i="8"/>
  <c r="J417" i="8"/>
  <c r="F417" i="8"/>
  <c r="G417" i="8" s="1"/>
  <c r="J416" i="8"/>
  <c r="J415" i="8"/>
  <c r="J414" i="8"/>
  <c r="F414" i="8"/>
  <c r="G414" i="8" s="1"/>
  <c r="J413" i="8"/>
  <c r="J412" i="8"/>
  <c r="J411" i="8"/>
  <c r="F411" i="8"/>
  <c r="G411" i="8" s="1"/>
  <c r="J410" i="8"/>
  <c r="J409" i="8"/>
  <c r="J408" i="8"/>
  <c r="F408" i="8"/>
  <c r="G408" i="8" s="1"/>
  <c r="J407" i="8"/>
  <c r="J406" i="8"/>
  <c r="J405" i="8"/>
  <c r="F405" i="8"/>
  <c r="G405" i="8" s="1"/>
  <c r="J404" i="8"/>
  <c r="J403" i="8"/>
  <c r="J402" i="8"/>
  <c r="F402" i="8"/>
  <c r="G402" i="8" s="1"/>
  <c r="J401" i="8"/>
  <c r="J400" i="8"/>
  <c r="J399" i="8"/>
  <c r="F399" i="8"/>
  <c r="G399" i="8" s="1"/>
  <c r="J398" i="8"/>
  <c r="J397" i="8"/>
  <c r="J396" i="8"/>
  <c r="F396" i="8"/>
  <c r="G396" i="8" s="1"/>
  <c r="J395" i="8"/>
  <c r="J394" i="8"/>
  <c r="J393" i="8"/>
  <c r="F393" i="8"/>
  <c r="G393" i="8" s="1"/>
  <c r="J392" i="8"/>
  <c r="J391" i="8"/>
  <c r="J390" i="8"/>
  <c r="F390" i="8"/>
  <c r="G390" i="8" s="1"/>
  <c r="J389" i="8"/>
  <c r="J388" i="8"/>
  <c r="J387" i="8"/>
  <c r="F387" i="8"/>
  <c r="G387" i="8" s="1"/>
  <c r="J377" i="8"/>
  <c r="J376" i="8"/>
  <c r="J375" i="8"/>
  <c r="G375" i="8"/>
  <c r="F377" i="8" s="1"/>
  <c r="G377" i="8" s="1"/>
  <c r="J374" i="8"/>
  <c r="G374" i="8"/>
  <c r="J373" i="8"/>
  <c r="G373" i="8"/>
  <c r="J372" i="8"/>
  <c r="G372" i="8"/>
  <c r="J371" i="8"/>
  <c r="J370" i="8"/>
  <c r="J369" i="8"/>
  <c r="G369" i="8"/>
  <c r="F371" i="8" s="1"/>
  <c r="G371" i="8" s="1"/>
  <c r="J368" i="8"/>
  <c r="J367" i="8"/>
  <c r="J366" i="8"/>
  <c r="F366" i="8"/>
  <c r="G366" i="8" s="1"/>
  <c r="J365" i="8"/>
  <c r="J364" i="8"/>
  <c r="J363" i="8"/>
  <c r="F363" i="8"/>
  <c r="G363" i="8" s="1"/>
  <c r="J362" i="8"/>
  <c r="J361" i="8"/>
  <c r="J360" i="8"/>
  <c r="F360" i="8"/>
  <c r="G360" i="8" s="1"/>
  <c r="J359" i="8"/>
  <c r="J358" i="8"/>
  <c r="J357" i="8"/>
  <c r="F357" i="8"/>
  <c r="G357" i="8" s="1"/>
  <c r="J356" i="8"/>
  <c r="J355" i="8"/>
  <c r="J354" i="8"/>
  <c r="F354" i="8"/>
  <c r="G354" i="8" s="1"/>
  <c r="J353" i="8"/>
  <c r="J352" i="8"/>
  <c r="J351" i="8"/>
  <c r="F351" i="8"/>
  <c r="G351" i="8" s="1"/>
  <c r="J350" i="8"/>
  <c r="J349" i="8"/>
  <c r="J348" i="8"/>
  <c r="F348" i="8"/>
  <c r="G348" i="8" s="1"/>
  <c r="J347" i="8"/>
  <c r="J346" i="8"/>
  <c r="J345" i="8"/>
  <c r="F345" i="8"/>
  <c r="G345" i="8" s="1"/>
  <c r="J344" i="8"/>
  <c r="J343" i="8"/>
  <c r="J342" i="8"/>
  <c r="F342" i="8"/>
  <c r="G342" i="8" s="1"/>
  <c r="J341" i="8"/>
  <c r="J340" i="8"/>
  <c r="J339" i="8"/>
  <c r="F339" i="8"/>
  <c r="G339" i="8" s="1"/>
  <c r="J338" i="8"/>
  <c r="J337" i="8"/>
  <c r="J336" i="8"/>
  <c r="F336" i="8"/>
  <c r="G336" i="8" s="1"/>
  <c r="J335" i="8"/>
  <c r="J334" i="8"/>
  <c r="J333" i="8"/>
  <c r="F333" i="8"/>
  <c r="G333" i="8" s="1"/>
  <c r="J332" i="8"/>
  <c r="J331" i="8"/>
  <c r="J330" i="8"/>
  <c r="F330" i="8"/>
  <c r="G330" i="8" s="1"/>
  <c r="J329" i="8"/>
  <c r="J328" i="8"/>
  <c r="J327" i="8"/>
  <c r="F327" i="8"/>
  <c r="G327" i="8" s="1"/>
  <c r="J317" i="8"/>
  <c r="J316" i="8"/>
  <c r="J315" i="8"/>
  <c r="G315" i="8"/>
  <c r="F316" i="8" s="1"/>
  <c r="G316" i="8" s="1"/>
  <c r="J314" i="8"/>
  <c r="G314" i="8"/>
  <c r="J313" i="8"/>
  <c r="G313" i="8"/>
  <c r="J312" i="8"/>
  <c r="G312" i="8"/>
  <c r="J311" i="8"/>
  <c r="J310" i="8"/>
  <c r="J309" i="8"/>
  <c r="G309" i="8"/>
  <c r="F310" i="8" s="1"/>
  <c r="G310" i="8" s="1"/>
  <c r="J308" i="8"/>
  <c r="J307" i="8"/>
  <c r="J306" i="8"/>
  <c r="F306" i="8"/>
  <c r="G306" i="8" s="1"/>
  <c r="J305" i="8"/>
  <c r="J304" i="8"/>
  <c r="J303" i="8"/>
  <c r="F303" i="8"/>
  <c r="G303" i="8" s="1"/>
  <c r="J302" i="8"/>
  <c r="J301" i="8"/>
  <c r="J300" i="8"/>
  <c r="F300" i="8"/>
  <c r="G300" i="8" s="1"/>
  <c r="J299" i="8"/>
  <c r="J298" i="8"/>
  <c r="J297" i="8"/>
  <c r="F297" i="8"/>
  <c r="G297" i="8" s="1"/>
  <c r="J296" i="8"/>
  <c r="J295" i="8"/>
  <c r="J294" i="8"/>
  <c r="F294" i="8"/>
  <c r="G294" i="8" s="1"/>
  <c r="J293" i="8"/>
  <c r="J292" i="8"/>
  <c r="J291" i="8"/>
  <c r="F291" i="8"/>
  <c r="G291" i="8" s="1"/>
  <c r="J290" i="8"/>
  <c r="J289" i="8"/>
  <c r="J288" i="8"/>
  <c r="F288" i="8"/>
  <c r="G288" i="8" s="1"/>
  <c r="J287" i="8"/>
  <c r="J286" i="8"/>
  <c r="J285" i="8"/>
  <c r="F285" i="8"/>
  <c r="G285" i="8" s="1"/>
  <c r="J284" i="8"/>
  <c r="J283" i="8"/>
  <c r="J282" i="8"/>
  <c r="F282" i="8"/>
  <c r="G282" i="8" s="1"/>
  <c r="J281" i="8"/>
  <c r="J280" i="8"/>
  <c r="J279" i="8"/>
  <c r="F279" i="8"/>
  <c r="G279" i="8" s="1"/>
  <c r="J278" i="8"/>
  <c r="J277" i="8"/>
  <c r="J276" i="8"/>
  <c r="F276" i="8"/>
  <c r="G276" i="8" s="1"/>
  <c r="J275" i="8"/>
  <c r="J274" i="8"/>
  <c r="J273" i="8"/>
  <c r="F273" i="8"/>
  <c r="G273" i="8" s="1"/>
  <c r="J272" i="8"/>
  <c r="J271" i="8"/>
  <c r="J270" i="8"/>
  <c r="F270" i="8"/>
  <c r="G270" i="8" s="1"/>
  <c r="J269" i="8"/>
  <c r="J268" i="8"/>
  <c r="J267" i="8"/>
  <c r="F267" i="8"/>
  <c r="G267" i="8" s="1"/>
  <c r="J257" i="8"/>
  <c r="J256" i="8"/>
  <c r="J255" i="8"/>
  <c r="G255" i="8"/>
  <c r="F257" i="8" s="1"/>
  <c r="G257" i="8" s="1"/>
  <c r="J254" i="8"/>
  <c r="G254" i="8"/>
  <c r="J253" i="8"/>
  <c r="G253" i="8"/>
  <c r="J252" i="8"/>
  <c r="G252" i="8"/>
  <c r="J251" i="8"/>
  <c r="J250" i="8"/>
  <c r="J249" i="8"/>
  <c r="G249" i="8"/>
  <c r="F251" i="8" s="1"/>
  <c r="G251" i="8" s="1"/>
  <c r="J248" i="8"/>
  <c r="J247" i="8"/>
  <c r="J246" i="8"/>
  <c r="F246" i="8"/>
  <c r="G246" i="8" s="1"/>
  <c r="J245" i="8"/>
  <c r="J244" i="8"/>
  <c r="J243" i="8"/>
  <c r="F243" i="8"/>
  <c r="G243" i="8" s="1"/>
  <c r="J242" i="8"/>
  <c r="J241" i="8"/>
  <c r="J240" i="8"/>
  <c r="F240" i="8"/>
  <c r="G240" i="8" s="1"/>
  <c r="J239" i="8"/>
  <c r="J238" i="8"/>
  <c r="J237" i="8"/>
  <c r="F237" i="8"/>
  <c r="G237" i="8" s="1"/>
  <c r="J236" i="8"/>
  <c r="J235" i="8"/>
  <c r="J234" i="8"/>
  <c r="F234" i="8"/>
  <c r="G234" i="8" s="1"/>
  <c r="J233" i="8"/>
  <c r="J232" i="8"/>
  <c r="J231" i="8"/>
  <c r="F231" i="8"/>
  <c r="G231" i="8" s="1"/>
  <c r="J230" i="8"/>
  <c r="J229" i="8"/>
  <c r="J228" i="8"/>
  <c r="F228" i="8"/>
  <c r="G228" i="8" s="1"/>
  <c r="J227" i="8"/>
  <c r="J226" i="8"/>
  <c r="J225" i="8"/>
  <c r="F225" i="8"/>
  <c r="G225" i="8" s="1"/>
  <c r="J224" i="8"/>
  <c r="J223" i="8"/>
  <c r="J222" i="8"/>
  <c r="F222" i="8"/>
  <c r="G222" i="8" s="1"/>
  <c r="J221" i="8"/>
  <c r="J220" i="8"/>
  <c r="J219" i="8"/>
  <c r="F219" i="8"/>
  <c r="G219" i="8" s="1"/>
  <c r="J218" i="8"/>
  <c r="J217" i="8"/>
  <c r="J216" i="8"/>
  <c r="F216" i="8"/>
  <c r="G216" i="8" s="1"/>
  <c r="J215" i="8"/>
  <c r="J214" i="8"/>
  <c r="J213" i="8"/>
  <c r="F213" i="8"/>
  <c r="G213" i="8" s="1"/>
  <c r="J212" i="8"/>
  <c r="J211" i="8"/>
  <c r="J210" i="8"/>
  <c r="F210" i="8"/>
  <c r="G210" i="8" s="1"/>
  <c r="J209" i="8"/>
  <c r="J208" i="8"/>
  <c r="J207" i="8"/>
  <c r="F207" i="8"/>
  <c r="G207" i="8" s="1"/>
  <c r="J197" i="8"/>
  <c r="J196" i="8"/>
  <c r="J195" i="8"/>
  <c r="G195" i="8"/>
  <c r="F196" i="8" s="1"/>
  <c r="G196" i="8" s="1"/>
  <c r="J194" i="8"/>
  <c r="G194" i="8"/>
  <c r="J193" i="8"/>
  <c r="G193" i="8"/>
  <c r="J192" i="8"/>
  <c r="G192" i="8"/>
  <c r="J191" i="8"/>
  <c r="J190" i="8"/>
  <c r="J189" i="8"/>
  <c r="G189" i="8"/>
  <c r="F190" i="8" s="1"/>
  <c r="G190" i="8" s="1"/>
  <c r="J188" i="8"/>
  <c r="J187" i="8"/>
  <c r="J186" i="8"/>
  <c r="F186" i="8"/>
  <c r="G186" i="8" s="1"/>
  <c r="F188" i="8" s="1"/>
  <c r="G188" i="8" s="1"/>
  <c r="J185" i="8"/>
  <c r="J184" i="8"/>
  <c r="J183" i="8"/>
  <c r="F183" i="8"/>
  <c r="G183" i="8" s="1"/>
  <c r="F185" i="8" s="1"/>
  <c r="G185" i="8" s="1"/>
  <c r="J182" i="8"/>
  <c r="J181" i="8"/>
  <c r="J180" i="8"/>
  <c r="F180" i="8"/>
  <c r="G180" i="8" s="1"/>
  <c r="F182" i="8" s="1"/>
  <c r="G182" i="8" s="1"/>
  <c r="J179" i="8"/>
  <c r="J178" i="8"/>
  <c r="J177" i="8"/>
  <c r="F177" i="8"/>
  <c r="G177" i="8" s="1"/>
  <c r="F179" i="8" s="1"/>
  <c r="G179" i="8" s="1"/>
  <c r="J176" i="8"/>
  <c r="J175" i="8"/>
  <c r="J174" i="8"/>
  <c r="F174" i="8"/>
  <c r="G174" i="8" s="1"/>
  <c r="F176" i="8" s="1"/>
  <c r="G176" i="8" s="1"/>
  <c r="J173" i="8"/>
  <c r="J172" i="8"/>
  <c r="J171" i="8"/>
  <c r="F171" i="8"/>
  <c r="G171" i="8" s="1"/>
  <c r="F173" i="8" s="1"/>
  <c r="G173" i="8" s="1"/>
  <c r="J170" i="8"/>
  <c r="J169" i="8"/>
  <c r="J168" i="8"/>
  <c r="F168" i="8"/>
  <c r="G168" i="8" s="1"/>
  <c r="F170" i="8" s="1"/>
  <c r="G170" i="8" s="1"/>
  <c r="J167" i="8"/>
  <c r="J166" i="8"/>
  <c r="J165" i="8"/>
  <c r="F165" i="8"/>
  <c r="G165" i="8" s="1"/>
  <c r="F167" i="8" s="1"/>
  <c r="G167" i="8" s="1"/>
  <c r="J164" i="8"/>
  <c r="J163" i="8"/>
  <c r="J162" i="8"/>
  <c r="F162" i="8"/>
  <c r="G162" i="8" s="1"/>
  <c r="F164" i="8" s="1"/>
  <c r="G164" i="8" s="1"/>
  <c r="J161" i="8"/>
  <c r="J160" i="8"/>
  <c r="J159" i="8"/>
  <c r="F159" i="8"/>
  <c r="G159" i="8" s="1"/>
  <c r="F161" i="8" s="1"/>
  <c r="G161" i="8" s="1"/>
  <c r="J158" i="8"/>
  <c r="J157" i="8"/>
  <c r="J156" i="8"/>
  <c r="F156" i="8"/>
  <c r="G156" i="8" s="1"/>
  <c r="F158" i="8" s="1"/>
  <c r="G158" i="8" s="1"/>
  <c r="J155" i="8"/>
  <c r="J154" i="8"/>
  <c r="J153" i="8"/>
  <c r="F153" i="8"/>
  <c r="G153" i="8" s="1"/>
  <c r="F155" i="8" s="1"/>
  <c r="G155" i="8" s="1"/>
  <c r="J152" i="8"/>
  <c r="J151" i="8"/>
  <c r="J150" i="8"/>
  <c r="F150" i="8"/>
  <c r="G150" i="8" s="1"/>
  <c r="F152" i="8" s="1"/>
  <c r="G152" i="8" s="1"/>
  <c r="J149" i="8"/>
  <c r="J148" i="8"/>
  <c r="J147" i="8"/>
  <c r="F147" i="8"/>
  <c r="G147" i="8" s="1"/>
  <c r="J137" i="8"/>
  <c r="J136" i="8"/>
  <c r="J135" i="8"/>
  <c r="G135" i="8"/>
  <c r="F137" i="8" s="1"/>
  <c r="G137" i="8" s="1"/>
  <c r="J134" i="8"/>
  <c r="G134" i="8"/>
  <c r="J133" i="8"/>
  <c r="G133" i="8"/>
  <c r="J132" i="8"/>
  <c r="G132" i="8"/>
  <c r="J131" i="8"/>
  <c r="J130" i="8"/>
  <c r="J129" i="8"/>
  <c r="G129" i="8"/>
  <c r="F131" i="8" s="1"/>
  <c r="G131" i="8" s="1"/>
  <c r="J128" i="8"/>
  <c r="J127" i="8"/>
  <c r="J126" i="8"/>
  <c r="F126" i="8"/>
  <c r="G126" i="8" s="1"/>
  <c r="F128" i="8" s="1"/>
  <c r="G128" i="8" s="1"/>
  <c r="J125" i="8"/>
  <c r="J124" i="8"/>
  <c r="J123" i="8"/>
  <c r="F123" i="8"/>
  <c r="G123" i="8" s="1"/>
  <c r="F125" i="8" s="1"/>
  <c r="G125" i="8" s="1"/>
  <c r="J122" i="8"/>
  <c r="J121" i="8"/>
  <c r="J120" i="8"/>
  <c r="F120" i="8"/>
  <c r="G120" i="8" s="1"/>
  <c r="F122" i="8" s="1"/>
  <c r="G122" i="8" s="1"/>
  <c r="J119" i="8"/>
  <c r="J118" i="8"/>
  <c r="J117" i="8"/>
  <c r="F117" i="8"/>
  <c r="G117" i="8" s="1"/>
  <c r="F119" i="8" s="1"/>
  <c r="G119" i="8" s="1"/>
  <c r="J116" i="8"/>
  <c r="J115" i="8"/>
  <c r="J114" i="8"/>
  <c r="F114" i="8"/>
  <c r="G114" i="8" s="1"/>
  <c r="F116" i="8" s="1"/>
  <c r="G116" i="8" s="1"/>
  <c r="J113" i="8"/>
  <c r="J112" i="8"/>
  <c r="J111" i="8"/>
  <c r="F111" i="8"/>
  <c r="G111" i="8" s="1"/>
  <c r="F113" i="8" s="1"/>
  <c r="G113" i="8" s="1"/>
  <c r="J110" i="8"/>
  <c r="J109" i="8"/>
  <c r="J108" i="8"/>
  <c r="F108" i="8"/>
  <c r="G108" i="8" s="1"/>
  <c r="F110" i="8" s="1"/>
  <c r="G110" i="8" s="1"/>
  <c r="J107" i="8"/>
  <c r="J106" i="8"/>
  <c r="J105" i="8"/>
  <c r="F105" i="8"/>
  <c r="G105" i="8" s="1"/>
  <c r="F107" i="8" s="1"/>
  <c r="G107" i="8" s="1"/>
  <c r="J104" i="8"/>
  <c r="J103" i="8"/>
  <c r="J102" i="8"/>
  <c r="F102" i="8"/>
  <c r="G102" i="8" s="1"/>
  <c r="F104" i="8" s="1"/>
  <c r="G104" i="8" s="1"/>
  <c r="J101" i="8"/>
  <c r="J100" i="8"/>
  <c r="J99" i="8"/>
  <c r="F99" i="8"/>
  <c r="G99" i="8" s="1"/>
  <c r="F101" i="8" s="1"/>
  <c r="G101" i="8" s="1"/>
  <c r="J98" i="8"/>
  <c r="J97" i="8"/>
  <c r="J96" i="8"/>
  <c r="F96" i="8"/>
  <c r="G96" i="8" s="1"/>
  <c r="F98" i="8" s="1"/>
  <c r="G98" i="8" s="1"/>
  <c r="J95" i="8"/>
  <c r="J94" i="8"/>
  <c r="J93" i="8"/>
  <c r="F93" i="8"/>
  <c r="G93" i="8" s="1"/>
  <c r="F95" i="8" s="1"/>
  <c r="G95" i="8" s="1"/>
  <c r="J92" i="8"/>
  <c r="J91" i="8"/>
  <c r="J90" i="8"/>
  <c r="F90" i="8"/>
  <c r="G90" i="8" s="1"/>
  <c r="F92" i="8" s="1"/>
  <c r="G92" i="8" s="1"/>
  <c r="J89" i="8"/>
  <c r="J88" i="8"/>
  <c r="J87" i="8"/>
  <c r="F87" i="8"/>
  <c r="G87" i="8" s="1"/>
  <c r="J77" i="8"/>
  <c r="J76" i="8"/>
  <c r="J75" i="8"/>
  <c r="G75" i="8"/>
  <c r="F76" i="8" s="1"/>
  <c r="G76" i="8" s="1"/>
  <c r="J74" i="8"/>
  <c r="J73" i="8"/>
  <c r="J72" i="8"/>
  <c r="F72" i="8"/>
  <c r="G72" i="8" s="1"/>
  <c r="F74" i="8" s="1"/>
  <c r="G74" i="8" s="1"/>
  <c r="J71" i="8"/>
  <c r="J70" i="8"/>
  <c r="J69" i="8"/>
  <c r="F69" i="8"/>
  <c r="G69" i="8" s="1"/>
  <c r="F71" i="8" s="1"/>
  <c r="G71" i="8" s="1"/>
  <c r="J68" i="8"/>
  <c r="J67" i="8"/>
  <c r="J66" i="8"/>
  <c r="F66" i="8"/>
  <c r="G66" i="8" s="1"/>
  <c r="F68" i="8" s="1"/>
  <c r="G68" i="8" s="1"/>
  <c r="K203" i="7"/>
  <c r="K202" i="7"/>
  <c r="K201" i="7"/>
  <c r="K200" i="7"/>
  <c r="K199" i="7"/>
  <c r="K198" i="7"/>
  <c r="K197" i="7"/>
  <c r="K196" i="7"/>
  <c r="K195" i="7"/>
  <c r="K184" i="7"/>
  <c r="K183" i="7"/>
  <c r="K182" i="7"/>
  <c r="K181" i="7"/>
  <c r="K180" i="7"/>
  <c r="K179" i="7"/>
  <c r="K178" i="7"/>
  <c r="K177" i="7"/>
  <c r="K176" i="7"/>
  <c r="K165" i="7"/>
  <c r="K164" i="7"/>
  <c r="K163" i="7"/>
  <c r="K162" i="7"/>
  <c r="K161" i="7"/>
  <c r="K160" i="7"/>
  <c r="K159" i="7"/>
  <c r="K158" i="7"/>
  <c r="K157" i="7"/>
  <c r="K146" i="7"/>
  <c r="K145" i="7"/>
  <c r="K144" i="7"/>
  <c r="K143" i="7"/>
  <c r="K142" i="7"/>
  <c r="K141" i="7"/>
  <c r="K140" i="7"/>
  <c r="K139" i="7"/>
  <c r="K138" i="7"/>
  <c r="K127" i="7"/>
  <c r="K126" i="7"/>
  <c r="K125" i="7"/>
  <c r="K124" i="7"/>
  <c r="K123" i="7"/>
  <c r="K122" i="7"/>
  <c r="K121" i="7"/>
  <c r="K120" i="7"/>
  <c r="K119" i="7"/>
  <c r="K108" i="7"/>
  <c r="K107" i="7"/>
  <c r="K106" i="7"/>
  <c r="K85" i="7"/>
  <c r="K84" i="7"/>
  <c r="K83" i="7"/>
  <c r="K72" i="7"/>
  <c r="K71" i="7"/>
  <c r="K70" i="7"/>
  <c r="K45" i="7"/>
  <c r="K44" i="7"/>
  <c r="K33" i="7"/>
  <c r="K32" i="7"/>
  <c r="K31" i="7"/>
  <c r="J203" i="7"/>
  <c r="F203" i="7"/>
  <c r="G203" i="7" s="1"/>
  <c r="J202" i="7"/>
  <c r="G202" i="7"/>
  <c r="J201" i="7"/>
  <c r="E201" i="7"/>
  <c r="G201" i="7" s="1"/>
  <c r="J200" i="7"/>
  <c r="E200" i="7"/>
  <c r="G200" i="7" s="1"/>
  <c r="J199" i="7"/>
  <c r="E199" i="7"/>
  <c r="G199" i="7" s="1"/>
  <c r="J198" i="7"/>
  <c r="G198" i="7"/>
  <c r="J197" i="7"/>
  <c r="G197" i="7"/>
  <c r="J196" i="7"/>
  <c r="E196" i="7"/>
  <c r="G196" i="7" s="1"/>
  <c r="J195" i="7"/>
  <c r="E195" i="7"/>
  <c r="G195" i="7" s="1"/>
  <c r="J194" i="7"/>
  <c r="G194" i="7"/>
  <c r="J184" i="7"/>
  <c r="F184" i="7"/>
  <c r="G184" i="7" s="1"/>
  <c r="J183" i="7"/>
  <c r="G183" i="7"/>
  <c r="J182" i="7"/>
  <c r="E182" i="7"/>
  <c r="G182" i="7" s="1"/>
  <c r="J181" i="7"/>
  <c r="E181" i="7"/>
  <c r="G181" i="7" s="1"/>
  <c r="J180" i="7"/>
  <c r="E180" i="7"/>
  <c r="G180" i="7" s="1"/>
  <c r="J179" i="7"/>
  <c r="G179" i="7"/>
  <c r="J178" i="7"/>
  <c r="G178" i="7"/>
  <c r="J177" i="7"/>
  <c r="E177" i="7"/>
  <c r="G177" i="7" s="1"/>
  <c r="J176" i="7"/>
  <c r="E176" i="7"/>
  <c r="G176" i="7" s="1"/>
  <c r="J175" i="7"/>
  <c r="G175" i="7"/>
  <c r="J165" i="7"/>
  <c r="F165" i="7"/>
  <c r="G165" i="7" s="1"/>
  <c r="J164" i="7"/>
  <c r="G164" i="7"/>
  <c r="J163" i="7"/>
  <c r="E163" i="7"/>
  <c r="G163" i="7" s="1"/>
  <c r="J162" i="7"/>
  <c r="E162" i="7"/>
  <c r="G162" i="7" s="1"/>
  <c r="J161" i="7"/>
  <c r="E161" i="7"/>
  <c r="G161" i="7" s="1"/>
  <c r="J160" i="7"/>
  <c r="G160" i="7"/>
  <c r="J159" i="7"/>
  <c r="G159" i="7"/>
  <c r="J158" i="7"/>
  <c r="E158" i="7"/>
  <c r="G158" i="7" s="1"/>
  <c r="J157" i="7"/>
  <c r="E157" i="7"/>
  <c r="G157" i="7" s="1"/>
  <c r="J156" i="7"/>
  <c r="G156" i="7"/>
  <c r="J146" i="7"/>
  <c r="F146" i="7"/>
  <c r="G146" i="7" s="1"/>
  <c r="J145" i="7"/>
  <c r="G145" i="7"/>
  <c r="J144" i="7"/>
  <c r="E144" i="7"/>
  <c r="G144" i="7" s="1"/>
  <c r="J143" i="7"/>
  <c r="E143" i="7"/>
  <c r="G143" i="7" s="1"/>
  <c r="J142" i="7"/>
  <c r="E142" i="7"/>
  <c r="G142" i="7" s="1"/>
  <c r="J141" i="7"/>
  <c r="G141" i="7"/>
  <c r="J140" i="7"/>
  <c r="G140" i="7"/>
  <c r="J139" i="7"/>
  <c r="E139" i="7"/>
  <c r="G139" i="7" s="1"/>
  <c r="J138" i="7"/>
  <c r="E138" i="7"/>
  <c r="G138" i="7" s="1"/>
  <c r="J137" i="7"/>
  <c r="G137" i="7"/>
  <c r="J127" i="7"/>
  <c r="F127" i="7"/>
  <c r="G127" i="7" s="1"/>
  <c r="J126" i="7"/>
  <c r="G126" i="7"/>
  <c r="J125" i="7"/>
  <c r="E125" i="7"/>
  <c r="G125" i="7" s="1"/>
  <c r="J124" i="7"/>
  <c r="E124" i="7"/>
  <c r="G124" i="7" s="1"/>
  <c r="J123" i="7"/>
  <c r="E123" i="7"/>
  <c r="G123" i="7" s="1"/>
  <c r="J122" i="7"/>
  <c r="G122" i="7"/>
  <c r="J121" i="7"/>
  <c r="G121" i="7"/>
  <c r="J120" i="7"/>
  <c r="E120" i="7"/>
  <c r="G120" i="7" s="1"/>
  <c r="J119" i="7"/>
  <c r="E119" i="7"/>
  <c r="G119" i="7" s="1"/>
  <c r="J118" i="7"/>
  <c r="G118" i="7"/>
  <c r="J108" i="7"/>
  <c r="F108" i="7"/>
  <c r="G108" i="7" s="1"/>
  <c r="J107" i="7"/>
  <c r="G107" i="7"/>
  <c r="J106" i="7"/>
  <c r="E106" i="7"/>
  <c r="G106" i="7" s="1"/>
  <c r="J105" i="7"/>
  <c r="G105" i="7"/>
  <c r="J95" i="7"/>
  <c r="F95" i="7"/>
  <c r="G95" i="7" s="1"/>
  <c r="J85" i="7"/>
  <c r="F85" i="7"/>
  <c r="G85" i="7" s="1"/>
  <c r="J84" i="7"/>
  <c r="E84" i="7"/>
  <c r="G84" i="7" s="1"/>
  <c r="J83" i="7"/>
  <c r="G83" i="7"/>
  <c r="J82" i="7"/>
  <c r="G82" i="7"/>
  <c r="J72" i="7"/>
  <c r="F72" i="7"/>
  <c r="G72" i="7" s="1"/>
  <c r="J71" i="7"/>
  <c r="E71" i="7"/>
  <c r="G71" i="7" s="1"/>
  <c r="J70" i="7"/>
  <c r="E70" i="7"/>
  <c r="G70" i="7" s="1"/>
  <c r="J69" i="7"/>
  <c r="G69" i="7"/>
  <c r="J45" i="7"/>
  <c r="F45" i="7"/>
  <c r="G45" i="7" s="1"/>
  <c r="J44" i="7"/>
  <c r="G44" i="7"/>
  <c r="J43" i="7"/>
  <c r="G43" i="7"/>
  <c r="J33" i="7"/>
  <c r="F33" i="7"/>
  <c r="G33" i="7" s="1"/>
  <c r="J32" i="7"/>
  <c r="E32" i="7"/>
  <c r="G32" i="7" s="1"/>
  <c r="J31" i="7"/>
  <c r="E31" i="7"/>
  <c r="G31" i="7" s="1"/>
  <c r="J30" i="7"/>
  <c r="G30" i="7"/>
  <c r="F370" i="8" l="1"/>
  <c r="G370" i="8" s="1"/>
  <c r="D47" i="9"/>
  <c r="D57" i="9"/>
  <c r="D80" i="9"/>
  <c r="K45" i="24" s="1"/>
  <c r="Q45" i="24" s="1"/>
  <c r="D90" i="9"/>
  <c r="D138" i="9"/>
  <c r="D157" i="9"/>
  <c r="F130" i="8"/>
  <c r="G130" i="8" s="1"/>
  <c r="D96" i="43"/>
  <c r="D21" i="42"/>
  <c r="K16" i="24" s="1"/>
  <c r="Q16" i="24" s="1"/>
  <c r="D39" i="42"/>
  <c r="K18" i="24" s="1"/>
  <c r="Q18" i="24" s="1"/>
  <c r="D41" i="40"/>
  <c r="D25" i="12"/>
  <c r="D51" i="12"/>
  <c r="I18" i="22" s="1"/>
  <c r="Q18" i="22" s="1"/>
  <c r="D76" i="12"/>
  <c r="M10" i="28" s="1"/>
  <c r="Q10" i="28" s="1"/>
  <c r="D289" i="12"/>
  <c r="M44" i="24" s="1"/>
  <c r="Q44" i="24" s="1"/>
  <c r="D326" i="12"/>
  <c r="D363" i="12"/>
  <c r="D423" i="12"/>
  <c r="K47" i="24" s="1"/>
  <c r="Q47" i="24" s="1"/>
  <c r="D198" i="12"/>
  <c r="M39" i="24" s="1"/>
  <c r="Q39" i="24" s="1"/>
  <c r="D384" i="12"/>
  <c r="O28" i="21" s="1"/>
  <c r="Q28" i="21" s="1"/>
  <c r="D409" i="12"/>
  <c r="M30" i="22" s="1"/>
  <c r="Q30" i="22" s="1"/>
  <c r="D119" i="9"/>
  <c r="D67" i="9"/>
  <c r="D23" i="9"/>
  <c r="D33" i="9"/>
  <c r="D106" i="9"/>
  <c r="F256" i="8"/>
  <c r="G256" i="8" s="1"/>
  <c r="F136" i="8"/>
  <c r="G136" i="8" s="1"/>
  <c r="F250" i="8"/>
  <c r="G250" i="8" s="1"/>
  <c r="F376" i="8"/>
  <c r="G376" i="8" s="1"/>
  <c r="F77" i="8"/>
  <c r="G77" i="8" s="1"/>
  <c r="F191" i="8"/>
  <c r="G191" i="8" s="1"/>
  <c r="F197" i="8"/>
  <c r="G197" i="8" s="1"/>
  <c r="F311" i="8"/>
  <c r="G311" i="8" s="1"/>
  <c r="F317" i="8"/>
  <c r="G317" i="8" s="1"/>
  <c r="F431" i="8"/>
  <c r="G431" i="8" s="1"/>
  <c r="F437" i="8"/>
  <c r="G437" i="8" s="1"/>
  <c r="F497" i="8"/>
  <c r="G497" i="8" s="1"/>
  <c r="F550" i="8"/>
  <c r="G550" i="8" s="1"/>
  <c r="F556" i="8"/>
  <c r="G556" i="8" s="1"/>
  <c r="F611" i="8"/>
  <c r="G611" i="8" s="1"/>
  <c r="F617" i="8"/>
  <c r="G617" i="8" s="1"/>
  <c r="F670" i="8"/>
  <c r="G670" i="8" s="1"/>
  <c r="F676" i="8"/>
  <c r="G676" i="8" s="1"/>
  <c r="F790" i="8"/>
  <c r="G790" i="8" s="1"/>
  <c r="F796" i="8"/>
  <c r="G796" i="8" s="1"/>
  <c r="F851" i="8"/>
  <c r="G851" i="8" s="1"/>
  <c r="F857" i="8"/>
  <c r="G857" i="8" s="1"/>
  <c r="F910" i="8"/>
  <c r="G910" i="8" s="1"/>
  <c r="F916" i="8"/>
  <c r="G916" i="8" s="1"/>
  <c r="F691" i="8"/>
  <c r="G691" i="8" s="1"/>
  <c r="F727" i="8"/>
  <c r="G727" i="8" s="1"/>
  <c r="F700" i="8"/>
  <c r="G700" i="8" s="1"/>
  <c r="D88" i="7"/>
  <c r="D20" i="10"/>
  <c r="D53" i="10"/>
  <c r="K43" i="24" s="1"/>
  <c r="D83" i="10"/>
  <c r="D106" i="10"/>
  <c r="D43" i="10"/>
  <c r="D65" i="10"/>
  <c r="F718" i="8"/>
  <c r="G718" i="8" s="1"/>
  <c r="F754" i="8"/>
  <c r="G754" i="8" s="1"/>
  <c r="F706" i="8"/>
  <c r="G706" i="8" s="1"/>
  <c r="F703" i="8"/>
  <c r="G703" i="8" s="1"/>
  <c r="F712" i="8"/>
  <c r="G712" i="8" s="1"/>
  <c r="F695" i="8"/>
  <c r="G695" i="8" s="1"/>
  <c r="F716" i="8"/>
  <c r="G716" i="8" s="1"/>
  <c r="F724" i="8"/>
  <c r="G724" i="8" s="1"/>
  <c r="D36" i="7"/>
  <c r="K11" i="29" s="1"/>
  <c r="Q11" i="29" s="1"/>
  <c r="D23" i="7"/>
  <c r="M19" i="22" s="1"/>
  <c r="Q19" i="22" s="1"/>
  <c r="D111" i="7"/>
  <c r="D130" i="7"/>
  <c r="D75" i="7"/>
  <c r="D168" i="7"/>
  <c r="D187"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79" i="42"/>
  <c r="K20" i="24" s="1"/>
  <c r="Q20" i="24" s="1"/>
  <c r="D49" i="42"/>
  <c r="K19" i="24" s="1"/>
  <c r="Q19" i="24" s="1"/>
  <c r="P104" i="43"/>
  <c r="P106" i="43"/>
  <c r="P108" i="43"/>
  <c r="P110" i="43"/>
  <c r="P112" i="43"/>
  <c r="P114" i="43"/>
  <c r="P116" i="43"/>
  <c r="P118" i="43"/>
  <c r="P120" i="43"/>
  <c r="P122" i="43"/>
  <c r="P124" i="43"/>
  <c r="P126" i="43"/>
  <c r="P128" i="43"/>
  <c r="P130" i="43"/>
  <c r="P132" i="43"/>
  <c r="P134" i="43"/>
  <c r="P136" i="43"/>
  <c r="P93" i="43"/>
  <c r="D350" i="12"/>
  <c r="K27" i="21" s="1"/>
  <c r="Q27" i="21" s="1"/>
  <c r="D316" i="12"/>
  <c r="D38" i="12"/>
  <c r="D65" i="12"/>
  <c r="I8" i="29" s="1"/>
  <c r="Q8" i="29" s="1"/>
  <c r="D100" i="12"/>
  <c r="K34" i="24" s="1"/>
  <c r="Q34" i="24" s="1"/>
  <c r="D230" i="12"/>
  <c r="D161" i="12"/>
  <c r="I35" i="24" s="1"/>
  <c r="Q35" i="24" s="1"/>
  <c r="D241" i="12"/>
  <c r="K42" i="24" s="1"/>
  <c r="Q42" i="24" s="1"/>
  <c r="D398" i="12"/>
  <c r="M34" i="21" s="1"/>
  <c r="Q34" i="21" s="1"/>
  <c r="Q49" i="24"/>
  <c r="D32" i="10"/>
  <c r="F710" i="8"/>
  <c r="G710" i="8" s="1"/>
  <c r="F722" i="8"/>
  <c r="G722" i="8" s="1"/>
  <c r="F752" i="8"/>
  <c r="G752" i="8" s="1"/>
  <c r="F758" i="8"/>
  <c r="G758" i="8" s="1"/>
  <c r="F757" i="8"/>
  <c r="G757" i="8" s="1"/>
  <c r="F764" i="8"/>
  <c r="G764" i="8" s="1"/>
  <c r="F763" i="8"/>
  <c r="G763" i="8" s="1"/>
  <c r="F698" i="8"/>
  <c r="G698" i="8" s="1"/>
  <c r="F689" i="8"/>
  <c r="G689" i="8" s="1"/>
  <c r="F731" i="8"/>
  <c r="G731" i="8" s="1"/>
  <c r="F730" i="8"/>
  <c r="G730" i="8" s="1"/>
  <c r="F809" i="8"/>
  <c r="G809" i="8" s="1"/>
  <c r="F808" i="8"/>
  <c r="G808" i="8" s="1"/>
  <c r="F737" i="8"/>
  <c r="G737" i="8" s="1"/>
  <c r="F736" i="8"/>
  <c r="G736" i="8" s="1"/>
  <c r="F749" i="8"/>
  <c r="G749" i="8" s="1"/>
  <c r="F761" i="8"/>
  <c r="G761" i="8" s="1"/>
  <c r="F760" i="8"/>
  <c r="G760" i="8" s="1"/>
  <c r="F869" i="8"/>
  <c r="G869" i="8" s="1"/>
  <c r="F868" i="8"/>
  <c r="G868" i="8" s="1"/>
  <c r="F770" i="8"/>
  <c r="G770" i="8" s="1"/>
  <c r="F769" i="8"/>
  <c r="G769" i="8" s="1"/>
  <c r="F776" i="8"/>
  <c r="G776" i="8" s="1"/>
  <c r="F775" i="8"/>
  <c r="G775" i="8" s="1"/>
  <c r="F782" i="8"/>
  <c r="G782" i="8" s="1"/>
  <c r="F781" i="8"/>
  <c r="G781" i="8" s="1"/>
  <c r="F788" i="8"/>
  <c r="G788" i="8" s="1"/>
  <c r="F787" i="8"/>
  <c r="G787" i="8" s="1"/>
  <c r="F812" i="8"/>
  <c r="G812" i="8" s="1"/>
  <c r="F811" i="8"/>
  <c r="G811" i="8" s="1"/>
  <c r="F818" i="8"/>
  <c r="G818" i="8" s="1"/>
  <c r="F817" i="8"/>
  <c r="G817" i="8" s="1"/>
  <c r="F824" i="8"/>
  <c r="G824" i="8" s="1"/>
  <c r="F823" i="8"/>
  <c r="G823" i="8" s="1"/>
  <c r="F830" i="8"/>
  <c r="G830" i="8" s="1"/>
  <c r="F829" i="8"/>
  <c r="G829" i="8" s="1"/>
  <c r="F836" i="8"/>
  <c r="G836" i="8" s="1"/>
  <c r="F835" i="8"/>
  <c r="G835" i="8" s="1"/>
  <c r="F842" i="8"/>
  <c r="G842" i="8" s="1"/>
  <c r="F841" i="8"/>
  <c r="G841" i="8" s="1"/>
  <c r="F848" i="8"/>
  <c r="G848" i="8" s="1"/>
  <c r="F847" i="8"/>
  <c r="G847" i="8" s="1"/>
  <c r="F872" i="8"/>
  <c r="G872" i="8" s="1"/>
  <c r="F871" i="8"/>
  <c r="G871" i="8" s="1"/>
  <c r="F878" i="8"/>
  <c r="G878" i="8" s="1"/>
  <c r="F877" i="8"/>
  <c r="G877" i="8" s="1"/>
  <c r="F884" i="8"/>
  <c r="G884" i="8" s="1"/>
  <c r="F883" i="8"/>
  <c r="G883" i="8" s="1"/>
  <c r="F890" i="8"/>
  <c r="G890" i="8" s="1"/>
  <c r="F889" i="8"/>
  <c r="G889" i="8" s="1"/>
  <c r="F896" i="8"/>
  <c r="G896" i="8" s="1"/>
  <c r="F895" i="8"/>
  <c r="G895" i="8" s="1"/>
  <c r="F902" i="8"/>
  <c r="G902" i="8" s="1"/>
  <c r="F901" i="8"/>
  <c r="G901" i="8" s="1"/>
  <c r="F908" i="8"/>
  <c r="G908" i="8" s="1"/>
  <c r="F907" i="8"/>
  <c r="G907" i="8" s="1"/>
  <c r="F767" i="8"/>
  <c r="G767" i="8" s="1"/>
  <c r="F766" i="8"/>
  <c r="G766" i="8" s="1"/>
  <c r="F779" i="8"/>
  <c r="G779" i="8" s="1"/>
  <c r="F778" i="8"/>
  <c r="G778" i="8" s="1"/>
  <c r="F815" i="8"/>
  <c r="G815" i="8" s="1"/>
  <c r="F814" i="8"/>
  <c r="G814" i="8" s="1"/>
  <c r="F821" i="8"/>
  <c r="G821" i="8" s="1"/>
  <c r="F820" i="8"/>
  <c r="G820" i="8" s="1"/>
  <c r="F827" i="8"/>
  <c r="G827" i="8" s="1"/>
  <c r="F826" i="8"/>
  <c r="G826" i="8" s="1"/>
  <c r="F833" i="8"/>
  <c r="G833" i="8" s="1"/>
  <c r="F832" i="8"/>
  <c r="G832" i="8" s="1"/>
  <c r="F839" i="8"/>
  <c r="G839" i="8" s="1"/>
  <c r="F838" i="8"/>
  <c r="G838" i="8" s="1"/>
  <c r="F845" i="8"/>
  <c r="G845" i="8" s="1"/>
  <c r="F844" i="8"/>
  <c r="G844" i="8" s="1"/>
  <c r="F875" i="8"/>
  <c r="G875" i="8" s="1"/>
  <c r="F874" i="8"/>
  <c r="G874" i="8" s="1"/>
  <c r="F881" i="8"/>
  <c r="G881" i="8" s="1"/>
  <c r="F880" i="8"/>
  <c r="G880" i="8" s="1"/>
  <c r="F887" i="8"/>
  <c r="G887" i="8" s="1"/>
  <c r="F886" i="8"/>
  <c r="G886" i="8" s="1"/>
  <c r="F893" i="8"/>
  <c r="G893" i="8" s="1"/>
  <c r="F892" i="8"/>
  <c r="G892" i="8" s="1"/>
  <c r="F899" i="8"/>
  <c r="G899" i="8" s="1"/>
  <c r="F898" i="8"/>
  <c r="G898" i="8" s="1"/>
  <c r="F905" i="8"/>
  <c r="G905" i="8" s="1"/>
  <c r="F904" i="8"/>
  <c r="G904" i="8" s="1"/>
  <c r="F773" i="8"/>
  <c r="G773" i="8" s="1"/>
  <c r="F772" i="8"/>
  <c r="G772" i="8" s="1"/>
  <c r="F785" i="8"/>
  <c r="G785" i="8" s="1"/>
  <c r="F784" i="8"/>
  <c r="G784" i="8" s="1"/>
  <c r="F530" i="8"/>
  <c r="G530" i="8" s="1"/>
  <c r="F529" i="8"/>
  <c r="G529" i="8" s="1"/>
  <c r="F536" i="8"/>
  <c r="G536" i="8" s="1"/>
  <c r="F535" i="8"/>
  <c r="G535" i="8" s="1"/>
  <c r="F542" i="8"/>
  <c r="G542" i="8" s="1"/>
  <c r="F541" i="8"/>
  <c r="G541" i="8" s="1"/>
  <c r="F548" i="8"/>
  <c r="G548" i="8" s="1"/>
  <c r="F547" i="8"/>
  <c r="G547" i="8" s="1"/>
  <c r="F490" i="8"/>
  <c r="G490" i="8" s="1"/>
  <c r="F448" i="8"/>
  <c r="G448" i="8" s="1"/>
  <c r="F451" i="8"/>
  <c r="G451" i="8" s="1"/>
  <c r="F454" i="8"/>
  <c r="G454" i="8" s="1"/>
  <c r="F457" i="8"/>
  <c r="G457" i="8" s="1"/>
  <c r="F460" i="8"/>
  <c r="G460" i="8" s="1"/>
  <c r="F463" i="8"/>
  <c r="G463" i="8" s="1"/>
  <c r="F466" i="8"/>
  <c r="G466" i="8" s="1"/>
  <c r="F469" i="8"/>
  <c r="G469" i="8" s="1"/>
  <c r="F472" i="8"/>
  <c r="G472" i="8" s="1"/>
  <c r="F475" i="8"/>
  <c r="G475" i="8" s="1"/>
  <c r="F478" i="8"/>
  <c r="G478" i="8" s="1"/>
  <c r="F481" i="8"/>
  <c r="G481" i="8" s="1"/>
  <c r="F484" i="8"/>
  <c r="G484" i="8" s="1"/>
  <c r="F487" i="8"/>
  <c r="G487" i="8" s="1"/>
  <c r="F508" i="8"/>
  <c r="G508" i="8" s="1"/>
  <c r="F511" i="8"/>
  <c r="G511" i="8" s="1"/>
  <c r="F514" i="8"/>
  <c r="G514" i="8" s="1"/>
  <c r="F517" i="8"/>
  <c r="G517" i="8" s="1"/>
  <c r="F520" i="8"/>
  <c r="G520" i="8" s="1"/>
  <c r="F523" i="8"/>
  <c r="G523" i="8" s="1"/>
  <c r="F527" i="8"/>
  <c r="G527" i="8" s="1"/>
  <c r="F526" i="8"/>
  <c r="G526" i="8" s="1"/>
  <c r="F533" i="8"/>
  <c r="G533" i="8" s="1"/>
  <c r="F532" i="8"/>
  <c r="G532" i="8" s="1"/>
  <c r="F539" i="8"/>
  <c r="G539" i="8" s="1"/>
  <c r="F538" i="8"/>
  <c r="G538" i="8" s="1"/>
  <c r="F545" i="8"/>
  <c r="G545" i="8" s="1"/>
  <c r="F544" i="8"/>
  <c r="G544" i="8" s="1"/>
  <c r="F569" i="8"/>
  <c r="G569" i="8" s="1"/>
  <c r="F568" i="8"/>
  <c r="G568" i="8" s="1"/>
  <c r="F629" i="8"/>
  <c r="G629" i="8" s="1"/>
  <c r="F628" i="8"/>
  <c r="G628" i="8" s="1"/>
  <c r="F571" i="8"/>
  <c r="G571" i="8" s="1"/>
  <c r="F574" i="8"/>
  <c r="G574" i="8" s="1"/>
  <c r="F577" i="8"/>
  <c r="G577" i="8" s="1"/>
  <c r="F580" i="8"/>
  <c r="G580" i="8" s="1"/>
  <c r="F583" i="8"/>
  <c r="G583" i="8" s="1"/>
  <c r="F586" i="8"/>
  <c r="G586" i="8" s="1"/>
  <c r="F589" i="8"/>
  <c r="G589" i="8" s="1"/>
  <c r="F592" i="8"/>
  <c r="G592" i="8" s="1"/>
  <c r="F595" i="8"/>
  <c r="G595" i="8" s="1"/>
  <c r="F598" i="8"/>
  <c r="G598" i="8" s="1"/>
  <c r="F601" i="8"/>
  <c r="G601" i="8" s="1"/>
  <c r="F604" i="8"/>
  <c r="G604" i="8" s="1"/>
  <c r="F607" i="8"/>
  <c r="G607" i="8" s="1"/>
  <c r="F631" i="8"/>
  <c r="G631" i="8" s="1"/>
  <c r="F634" i="8"/>
  <c r="G634" i="8" s="1"/>
  <c r="F637" i="8"/>
  <c r="G637" i="8" s="1"/>
  <c r="F640" i="8"/>
  <c r="G640" i="8" s="1"/>
  <c r="F643" i="8"/>
  <c r="G643" i="8" s="1"/>
  <c r="F646" i="8"/>
  <c r="G646" i="8" s="1"/>
  <c r="F649" i="8"/>
  <c r="G649" i="8" s="1"/>
  <c r="F652" i="8"/>
  <c r="G652" i="8" s="1"/>
  <c r="F655" i="8"/>
  <c r="G655" i="8" s="1"/>
  <c r="F658" i="8"/>
  <c r="G658" i="8" s="1"/>
  <c r="F661" i="8"/>
  <c r="G661" i="8" s="1"/>
  <c r="F664" i="8"/>
  <c r="G664" i="8" s="1"/>
  <c r="F667" i="8"/>
  <c r="G667" i="8" s="1"/>
  <c r="F215" i="8"/>
  <c r="G215" i="8" s="1"/>
  <c r="F214" i="8"/>
  <c r="G214" i="8" s="1"/>
  <c r="F221" i="8"/>
  <c r="G221" i="8" s="1"/>
  <c r="F220" i="8"/>
  <c r="G220" i="8" s="1"/>
  <c r="F233" i="8"/>
  <c r="G233" i="8" s="1"/>
  <c r="F232" i="8"/>
  <c r="G232" i="8" s="1"/>
  <c r="F239" i="8"/>
  <c r="G239" i="8" s="1"/>
  <c r="F238" i="8"/>
  <c r="G238" i="8" s="1"/>
  <c r="F245" i="8"/>
  <c r="G245" i="8" s="1"/>
  <c r="F244" i="8"/>
  <c r="G244" i="8" s="1"/>
  <c r="F269" i="8"/>
  <c r="G269" i="8" s="1"/>
  <c r="F268" i="8"/>
  <c r="G268" i="8" s="1"/>
  <c r="F212" i="8"/>
  <c r="G212" i="8" s="1"/>
  <c r="F211" i="8"/>
  <c r="G211" i="8" s="1"/>
  <c r="F218" i="8"/>
  <c r="G218" i="8" s="1"/>
  <c r="F217" i="8"/>
  <c r="G217" i="8" s="1"/>
  <c r="F224" i="8"/>
  <c r="G224" i="8" s="1"/>
  <c r="F223" i="8"/>
  <c r="G223" i="8" s="1"/>
  <c r="F230" i="8"/>
  <c r="G230" i="8" s="1"/>
  <c r="F229" i="8"/>
  <c r="G229" i="8" s="1"/>
  <c r="F236" i="8"/>
  <c r="G236" i="8" s="1"/>
  <c r="F235" i="8"/>
  <c r="G235" i="8" s="1"/>
  <c r="F242" i="8"/>
  <c r="G242" i="8" s="1"/>
  <c r="F241" i="8"/>
  <c r="G241" i="8" s="1"/>
  <c r="F248" i="8"/>
  <c r="G248" i="8" s="1"/>
  <c r="F247" i="8"/>
  <c r="G247" i="8" s="1"/>
  <c r="F275" i="8"/>
  <c r="G275" i="8" s="1"/>
  <c r="F274" i="8"/>
  <c r="G274" i="8" s="1"/>
  <c r="F281" i="8"/>
  <c r="G281" i="8" s="1"/>
  <c r="F280" i="8"/>
  <c r="G280" i="8" s="1"/>
  <c r="F227" i="8"/>
  <c r="G227" i="8" s="1"/>
  <c r="F226" i="8"/>
  <c r="G226" i="8" s="1"/>
  <c r="F209" i="8"/>
  <c r="G209" i="8" s="1"/>
  <c r="F208" i="8"/>
  <c r="G208" i="8" s="1"/>
  <c r="F272" i="8"/>
  <c r="G272" i="8" s="1"/>
  <c r="F271" i="8"/>
  <c r="G271" i="8" s="1"/>
  <c r="F278" i="8"/>
  <c r="G278" i="8" s="1"/>
  <c r="F277" i="8"/>
  <c r="G277" i="8" s="1"/>
  <c r="F284" i="8"/>
  <c r="G284" i="8" s="1"/>
  <c r="F283" i="8"/>
  <c r="G283" i="8" s="1"/>
  <c r="F329" i="8"/>
  <c r="G329" i="8" s="1"/>
  <c r="F328" i="8"/>
  <c r="G328" i="8" s="1"/>
  <c r="F392" i="8"/>
  <c r="G392" i="8" s="1"/>
  <c r="F391" i="8"/>
  <c r="G391" i="8" s="1"/>
  <c r="F398" i="8"/>
  <c r="G398" i="8" s="1"/>
  <c r="F397" i="8"/>
  <c r="G397" i="8" s="1"/>
  <c r="F404" i="8"/>
  <c r="G404" i="8" s="1"/>
  <c r="F403" i="8"/>
  <c r="G403" i="8" s="1"/>
  <c r="F410" i="8"/>
  <c r="G410" i="8" s="1"/>
  <c r="F409" i="8"/>
  <c r="G409" i="8" s="1"/>
  <c r="F416" i="8"/>
  <c r="G416" i="8" s="1"/>
  <c r="F415" i="8"/>
  <c r="G415" i="8" s="1"/>
  <c r="F422" i="8"/>
  <c r="G422" i="8" s="1"/>
  <c r="F421" i="8"/>
  <c r="G421" i="8" s="1"/>
  <c r="F428" i="8"/>
  <c r="G428" i="8" s="1"/>
  <c r="F427" i="8"/>
  <c r="G427" i="8" s="1"/>
  <c r="F290" i="8"/>
  <c r="G290" i="8" s="1"/>
  <c r="F289" i="8"/>
  <c r="G289" i="8" s="1"/>
  <c r="F296" i="8"/>
  <c r="G296" i="8" s="1"/>
  <c r="F295" i="8"/>
  <c r="G295" i="8" s="1"/>
  <c r="F302" i="8"/>
  <c r="G302" i="8" s="1"/>
  <c r="F301" i="8"/>
  <c r="G301" i="8" s="1"/>
  <c r="F308" i="8"/>
  <c r="G308" i="8" s="1"/>
  <c r="F307" i="8"/>
  <c r="G307" i="8" s="1"/>
  <c r="F332" i="8"/>
  <c r="G332" i="8" s="1"/>
  <c r="F331" i="8"/>
  <c r="G331" i="8" s="1"/>
  <c r="F338" i="8"/>
  <c r="G338" i="8" s="1"/>
  <c r="F337" i="8"/>
  <c r="G337" i="8" s="1"/>
  <c r="F344" i="8"/>
  <c r="G344" i="8" s="1"/>
  <c r="F343" i="8"/>
  <c r="G343" i="8" s="1"/>
  <c r="F350" i="8"/>
  <c r="G350" i="8" s="1"/>
  <c r="F349" i="8"/>
  <c r="G349" i="8" s="1"/>
  <c r="F356" i="8"/>
  <c r="G356" i="8" s="1"/>
  <c r="F355" i="8"/>
  <c r="G355" i="8" s="1"/>
  <c r="F362" i="8"/>
  <c r="G362" i="8" s="1"/>
  <c r="F361" i="8"/>
  <c r="G361" i="8" s="1"/>
  <c r="F368" i="8"/>
  <c r="G368" i="8" s="1"/>
  <c r="F367" i="8"/>
  <c r="G367" i="8" s="1"/>
  <c r="F395" i="8"/>
  <c r="G395" i="8" s="1"/>
  <c r="F394" i="8"/>
  <c r="G394" i="8" s="1"/>
  <c r="F401" i="8"/>
  <c r="G401" i="8" s="1"/>
  <c r="F400" i="8"/>
  <c r="G400" i="8" s="1"/>
  <c r="F407" i="8"/>
  <c r="G407" i="8" s="1"/>
  <c r="F406" i="8"/>
  <c r="G406" i="8" s="1"/>
  <c r="F413" i="8"/>
  <c r="G413" i="8" s="1"/>
  <c r="F412" i="8"/>
  <c r="G412" i="8" s="1"/>
  <c r="F419" i="8"/>
  <c r="G419" i="8" s="1"/>
  <c r="F418" i="8"/>
  <c r="G418" i="8" s="1"/>
  <c r="F425" i="8"/>
  <c r="G425" i="8" s="1"/>
  <c r="F424" i="8"/>
  <c r="G424" i="8" s="1"/>
  <c r="F287" i="8"/>
  <c r="G287" i="8" s="1"/>
  <c r="F286" i="8"/>
  <c r="G286" i="8" s="1"/>
  <c r="F293" i="8"/>
  <c r="G293" i="8" s="1"/>
  <c r="F292" i="8"/>
  <c r="G292" i="8" s="1"/>
  <c r="F299" i="8"/>
  <c r="G299" i="8" s="1"/>
  <c r="F298" i="8"/>
  <c r="G298" i="8" s="1"/>
  <c r="F305" i="8"/>
  <c r="G305" i="8" s="1"/>
  <c r="F304" i="8"/>
  <c r="G304" i="8" s="1"/>
  <c r="F335" i="8"/>
  <c r="G335" i="8" s="1"/>
  <c r="F334" i="8"/>
  <c r="G334" i="8" s="1"/>
  <c r="F341" i="8"/>
  <c r="G341" i="8" s="1"/>
  <c r="F340" i="8"/>
  <c r="G340" i="8" s="1"/>
  <c r="F347" i="8"/>
  <c r="G347" i="8" s="1"/>
  <c r="F346" i="8"/>
  <c r="G346" i="8" s="1"/>
  <c r="F353" i="8"/>
  <c r="G353" i="8" s="1"/>
  <c r="F352" i="8"/>
  <c r="G352" i="8" s="1"/>
  <c r="F359" i="8"/>
  <c r="G359" i="8" s="1"/>
  <c r="F358" i="8"/>
  <c r="G358" i="8" s="1"/>
  <c r="F365" i="8"/>
  <c r="G365" i="8" s="1"/>
  <c r="F364" i="8"/>
  <c r="G364" i="8" s="1"/>
  <c r="F389" i="8"/>
  <c r="G389" i="8" s="1"/>
  <c r="F388" i="8"/>
  <c r="G388" i="8" s="1"/>
  <c r="F89" i="8"/>
  <c r="G89" i="8" s="1"/>
  <c r="F88" i="8"/>
  <c r="G88" i="8" s="1"/>
  <c r="F149" i="8"/>
  <c r="G149" i="8" s="1"/>
  <c r="F148" i="8"/>
  <c r="G148" i="8" s="1"/>
  <c r="F91" i="8"/>
  <c r="G91" i="8" s="1"/>
  <c r="F94" i="8"/>
  <c r="G94" i="8" s="1"/>
  <c r="F97" i="8"/>
  <c r="G97" i="8" s="1"/>
  <c r="F100" i="8"/>
  <c r="G100" i="8" s="1"/>
  <c r="F103" i="8"/>
  <c r="G103" i="8" s="1"/>
  <c r="F106" i="8"/>
  <c r="G106" i="8" s="1"/>
  <c r="F109" i="8"/>
  <c r="G109" i="8" s="1"/>
  <c r="F112" i="8"/>
  <c r="G112" i="8" s="1"/>
  <c r="F115" i="8"/>
  <c r="G115" i="8" s="1"/>
  <c r="F118" i="8"/>
  <c r="G118" i="8" s="1"/>
  <c r="F121" i="8"/>
  <c r="G121" i="8" s="1"/>
  <c r="F124" i="8"/>
  <c r="G124" i="8" s="1"/>
  <c r="F127" i="8"/>
  <c r="G127" i="8" s="1"/>
  <c r="F151" i="8"/>
  <c r="G151" i="8" s="1"/>
  <c r="F154" i="8"/>
  <c r="G154" i="8" s="1"/>
  <c r="F157" i="8"/>
  <c r="G157" i="8" s="1"/>
  <c r="F160" i="8"/>
  <c r="G160" i="8" s="1"/>
  <c r="F163" i="8"/>
  <c r="G163" i="8" s="1"/>
  <c r="F166" i="8"/>
  <c r="G166" i="8" s="1"/>
  <c r="F169" i="8"/>
  <c r="G169" i="8" s="1"/>
  <c r="F172" i="8"/>
  <c r="G172" i="8" s="1"/>
  <c r="F175" i="8"/>
  <c r="G175" i="8" s="1"/>
  <c r="F178" i="8"/>
  <c r="G178" i="8" s="1"/>
  <c r="F181" i="8"/>
  <c r="G181" i="8" s="1"/>
  <c r="F184" i="8"/>
  <c r="G184" i="8" s="1"/>
  <c r="F187" i="8"/>
  <c r="G187" i="8" s="1"/>
  <c r="F67" i="8"/>
  <c r="G67" i="8" s="1"/>
  <c r="F70" i="8"/>
  <c r="G70" i="8" s="1"/>
  <c r="F73" i="8"/>
  <c r="G73" i="8" s="1"/>
  <c r="D149" i="7"/>
  <c r="D98" i="7"/>
  <c r="D62" i="7"/>
  <c r="M12" i="50" s="1"/>
  <c r="H29" i="46"/>
  <c r="I29" i="46"/>
  <c r="J29" i="46"/>
  <c r="K29" i="46"/>
  <c r="L29" i="46"/>
  <c r="M29" i="46"/>
  <c r="N29" i="46"/>
  <c r="O29" i="46"/>
  <c r="P29" i="46"/>
  <c r="Q29" i="46"/>
  <c r="I21" i="27" s="1"/>
  <c r="J9" i="45"/>
  <c r="K9" i="45"/>
  <c r="L9" i="45"/>
  <c r="M9" i="45"/>
  <c r="N9" i="45"/>
  <c r="O9" i="45"/>
  <c r="H49" i="21"/>
  <c r="I49" i="21"/>
  <c r="J49" i="21"/>
  <c r="L49" i="21"/>
  <c r="M49" i="21"/>
  <c r="N49" i="21"/>
  <c r="O49" i="21"/>
  <c r="P49" i="21"/>
  <c r="J62" i="22"/>
  <c r="L62" i="22"/>
  <c r="N62" i="22"/>
  <c r="P62" i="22"/>
  <c r="H62" i="22"/>
  <c r="D5" i="10" l="1"/>
  <c r="K42" i="30"/>
  <c r="M42" i="30"/>
  <c r="O43" i="30"/>
  <c r="K43" i="30"/>
  <c r="Q43" i="30" s="1"/>
  <c r="O41" i="30"/>
  <c r="M41" i="30"/>
  <c r="K41" i="30"/>
  <c r="K48" i="24"/>
  <c r="Q48" i="24" s="1"/>
  <c r="Q46" i="24"/>
  <c r="Q49" i="21"/>
  <c r="I5" i="27" s="1"/>
  <c r="M74" i="50"/>
  <c r="Q12" i="50"/>
  <c r="Q74" i="50" s="1"/>
  <c r="I24" i="27" s="1"/>
  <c r="Q43" i="24"/>
  <c r="K49" i="21"/>
  <c r="M13" i="29"/>
  <c r="K13" i="29"/>
  <c r="K12" i="28"/>
  <c r="M12" i="28"/>
  <c r="I33" i="24"/>
  <c r="Q33" i="24" s="1"/>
  <c r="Q41" i="24"/>
  <c r="K40" i="24"/>
  <c r="Q40" i="24" s="1"/>
  <c r="K38" i="24"/>
  <c r="Q38" i="24" s="1"/>
  <c r="O35" i="22"/>
  <c r="O62" i="22" s="1"/>
  <c r="K35" i="22"/>
  <c r="I35" i="22"/>
  <c r="M35" i="22"/>
  <c r="M62" i="22" s="1"/>
  <c r="I34" i="22"/>
  <c r="K34" i="22"/>
  <c r="D59" i="8"/>
  <c r="D440" i="8"/>
  <c r="D200" i="8"/>
  <c r="D680" i="8"/>
  <c r="D80" i="8"/>
  <c r="D500" i="8"/>
  <c r="D860" i="8"/>
  <c r="D800" i="8"/>
  <c r="D740" i="8"/>
  <c r="D140" i="8"/>
  <c r="D380" i="8"/>
  <c r="D320" i="8"/>
  <c r="D620" i="8"/>
  <c r="D560" i="8"/>
  <c r="D260" i="8"/>
  <c r="K66" i="24" l="1"/>
  <c r="M66" i="24"/>
  <c r="I66" i="24"/>
  <c r="Q66" i="24" s="1"/>
  <c r="Q42" i="30"/>
  <c r="Q41" i="30"/>
  <c r="Q13" i="29"/>
  <c r="Q12" i="28"/>
  <c r="Q35" i="22"/>
  <c r="Q34" i="22"/>
  <c r="I62" i="22"/>
  <c r="J37" i="40"/>
  <c r="J36" i="40"/>
  <c r="J35" i="40"/>
  <c r="J34" i="40"/>
  <c r="J33" i="40"/>
  <c r="J32" i="40"/>
  <c r="J31" i="40"/>
  <c r="J30" i="40"/>
  <c r="J29" i="40"/>
  <c r="J28" i="40"/>
  <c r="J27" i="40"/>
  <c r="J26" i="40"/>
  <c r="J25" i="40"/>
  <c r="J24" i="40"/>
  <c r="J23" i="40"/>
  <c r="J22" i="40"/>
  <c r="J21" i="40"/>
  <c r="J20" i="40"/>
  <c r="J19" i="40"/>
  <c r="J20" i="9"/>
  <c r="J19" i="9"/>
  <c r="K19" i="7"/>
  <c r="K18" i="7"/>
  <c r="Q43" i="48"/>
  <c r="I13" i="27" s="1"/>
  <c r="P43" i="48"/>
  <c r="O43" i="48"/>
  <c r="N43" i="48"/>
  <c r="M43" i="48"/>
  <c r="L43" i="48"/>
  <c r="K43" i="48"/>
  <c r="J43" i="48"/>
  <c r="I43" i="48"/>
  <c r="H43" i="48"/>
  <c r="Q21" i="47" l="1"/>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34" i="8" l="1"/>
  <c r="K130" i="8"/>
  <c r="K126" i="8"/>
  <c r="K122" i="8"/>
  <c r="K118" i="8"/>
  <c r="K114" i="8"/>
  <c r="K110" i="8"/>
  <c r="K106" i="8"/>
  <c r="K102" i="8"/>
  <c r="K98" i="8"/>
  <c r="K94" i="8"/>
  <c r="K90" i="8"/>
  <c r="K137" i="8"/>
  <c r="K133" i="8"/>
  <c r="K129" i="8"/>
  <c r="K125" i="8"/>
  <c r="K121" i="8"/>
  <c r="K117" i="8"/>
  <c r="K113" i="8"/>
  <c r="K109" i="8"/>
  <c r="K105" i="8"/>
  <c r="K101" i="8"/>
  <c r="K97" i="8"/>
  <c r="K93" i="8"/>
  <c r="K89" i="8"/>
  <c r="K136" i="8"/>
  <c r="K132" i="8"/>
  <c r="K128" i="8"/>
  <c r="K124" i="8"/>
  <c r="K120" i="8"/>
  <c r="K116" i="8"/>
  <c r="K112" i="8"/>
  <c r="K108" i="8"/>
  <c r="K104" i="8"/>
  <c r="K100" i="8"/>
  <c r="K96" i="8"/>
  <c r="K92" i="8"/>
  <c r="K88" i="8"/>
  <c r="K123" i="8"/>
  <c r="K107" i="8"/>
  <c r="K91" i="8"/>
  <c r="K111" i="8"/>
  <c r="K135" i="8"/>
  <c r="K119" i="8"/>
  <c r="K103" i="8"/>
  <c r="K127" i="8"/>
  <c r="K131" i="8"/>
  <c r="K115" i="8"/>
  <c r="K99" i="8"/>
  <c r="K95" i="8"/>
  <c r="AM341" i="38"/>
  <c r="AQ341" i="38"/>
  <c r="AE341" i="38"/>
  <c r="AI341" i="38"/>
  <c r="F341" i="38"/>
  <c r="J341" i="38" s="1"/>
  <c r="P21" i="44"/>
  <c r="Q21" i="44"/>
  <c r="I19" i="27" s="1"/>
  <c r="P27" i="23"/>
  <c r="Q27" i="23"/>
  <c r="I9" i="27" s="1"/>
  <c r="P36" i="33"/>
  <c r="Q36" i="33"/>
  <c r="I12" i="27" s="1"/>
  <c r="P21" i="31"/>
  <c r="Q21" i="31"/>
  <c r="I20" i="27" s="1"/>
  <c r="P74" i="24"/>
  <c r="P68" i="30"/>
  <c r="Q68" i="30"/>
  <c r="I8" i="27" s="1"/>
  <c r="P21" i="29"/>
  <c r="Q21" i="29"/>
  <c r="I7" i="27" s="1"/>
  <c r="P28" i="28"/>
  <c r="K196" i="8" l="1"/>
  <c r="K192" i="8"/>
  <c r="K188" i="8"/>
  <c r="K184" i="8"/>
  <c r="K180" i="8"/>
  <c r="K176" i="8"/>
  <c r="K172" i="8"/>
  <c r="K168" i="8"/>
  <c r="K164" i="8"/>
  <c r="K160" i="8"/>
  <c r="K156" i="8"/>
  <c r="K152" i="8"/>
  <c r="K148" i="8"/>
  <c r="K195" i="8"/>
  <c r="K191" i="8"/>
  <c r="K187" i="8"/>
  <c r="K183" i="8"/>
  <c r="K179" i="8"/>
  <c r="K175" i="8"/>
  <c r="K171" i="8"/>
  <c r="K167" i="8"/>
  <c r="K163" i="8"/>
  <c r="K159" i="8"/>
  <c r="K155" i="8"/>
  <c r="K151" i="8"/>
  <c r="K194" i="8"/>
  <c r="K190" i="8"/>
  <c r="K186" i="8"/>
  <c r="K182" i="8"/>
  <c r="K178" i="8"/>
  <c r="K174" i="8"/>
  <c r="K170" i="8"/>
  <c r="K166" i="8"/>
  <c r="K162" i="8"/>
  <c r="K158" i="8"/>
  <c r="K154" i="8"/>
  <c r="K150" i="8"/>
  <c r="K197" i="8"/>
  <c r="K181" i="8"/>
  <c r="K165" i="8"/>
  <c r="K149" i="8"/>
  <c r="K153" i="8"/>
  <c r="K193" i="8"/>
  <c r="K177" i="8"/>
  <c r="K161" i="8"/>
  <c r="K185" i="8"/>
  <c r="K189" i="8"/>
  <c r="K173" i="8"/>
  <c r="K157" i="8"/>
  <c r="K169" i="8"/>
  <c r="AR341" i="38"/>
  <c r="H341" i="38"/>
  <c r="J38" i="40"/>
  <c r="K254" i="8" l="1"/>
  <c r="K250" i="8"/>
  <c r="K246" i="8"/>
  <c r="K242" i="8"/>
  <c r="K238" i="8"/>
  <c r="K234" i="8"/>
  <c r="K230" i="8"/>
  <c r="K226" i="8"/>
  <c r="K222" i="8"/>
  <c r="K218" i="8"/>
  <c r="K214" i="8"/>
  <c r="K210" i="8"/>
  <c r="K257" i="8"/>
  <c r="K253" i="8"/>
  <c r="K249" i="8"/>
  <c r="K245" i="8"/>
  <c r="K241" i="8"/>
  <c r="K237" i="8"/>
  <c r="K233" i="8"/>
  <c r="K229" i="8"/>
  <c r="K225" i="8"/>
  <c r="K221" i="8"/>
  <c r="K217" i="8"/>
  <c r="K213" i="8"/>
  <c r="K209" i="8"/>
  <c r="K256" i="8"/>
  <c r="K252" i="8"/>
  <c r="K248" i="8"/>
  <c r="K244" i="8"/>
  <c r="K240" i="8"/>
  <c r="K236" i="8"/>
  <c r="K232" i="8"/>
  <c r="K228" i="8"/>
  <c r="K224" i="8"/>
  <c r="K220" i="8"/>
  <c r="K216" i="8"/>
  <c r="K212" i="8"/>
  <c r="K208" i="8"/>
  <c r="K255" i="8"/>
  <c r="K239" i="8"/>
  <c r="K223" i="8"/>
  <c r="K227" i="8"/>
  <c r="K211" i="8"/>
  <c r="K251" i="8"/>
  <c r="K235" i="8"/>
  <c r="K219" i="8"/>
  <c r="K247" i="8"/>
  <c r="K231" i="8"/>
  <c r="K215" i="8"/>
  <c r="K243" i="8"/>
  <c r="O74" i="24"/>
  <c r="N74" i="24"/>
  <c r="L74" i="24"/>
  <c r="J74" i="24"/>
  <c r="H74" i="24"/>
  <c r="K316" i="8" l="1"/>
  <c r="K312" i="8"/>
  <c r="K308" i="8"/>
  <c r="K304" i="8"/>
  <c r="K300" i="8"/>
  <c r="K296" i="8"/>
  <c r="K292" i="8"/>
  <c r="K288" i="8"/>
  <c r="K284" i="8"/>
  <c r="K280" i="8"/>
  <c r="K276" i="8"/>
  <c r="K272" i="8"/>
  <c r="K268" i="8"/>
  <c r="K317" i="8"/>
  <c r="K305" i="8"/>
  <c r="K293" i="8"/>
  <c r="K285" i="8"/>
  <c r="K315" i="8"/>
  <c r="K311" i="8"/>
  <c r="K307" i="8"/>
  <c r="K303" i="8"/>
  <c r="K299" i="8"/>
  <c r="K295" i="8"/>
  <c r="K291" i="8"/>
  <c r="K287" i="8"/>
  <c r="K283" i="8"/>
  <c r="K279" i="8"/>
  <c r="K275" i="8"/>
  <c r="K271" i="8"/>
  <c r="K309" i="8"/>
  <c r="K301" i="8"/>
  <c r="K289" i="8"/>
  <c r="K314" i="8"/>
  <c r="K310" i="8"/>
  <c r="K306" i="8"/>
  <c r="K302" i="8"/>
  <c r="K298" i="8"/>
  <c r="K294" i="8"/>
  <c r="K290" i="8"/>
  <c r="K286" i="8"/>
  <c r="K282" i="8"/>
  <c r="K278" i="8"/>
  <c r="K274" i="8"/>
  <c r="K270" i="8"/>
  <c r="K313" i="8"/>
  <c r="K297" i="8"/>
  <c r="K281" i="8"/>
  <c r="K277" i="8"/>
  <c r="K269" i="8"/>
  <c r="K27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G277" i="38"/>
  <c r="AF277" i="38"/>
  <c r="AC277" i="38"/>
  <c r="AB277" i="38"/>
  <c r="E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G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374" i="8" l="1"/>
  <c r="K370" i="8"/>
  <c r="K366" i="8"/>
  <c r="K362" i="8"/>
  <c r="K358" i="8"/>
  <c r="K354" i="8"/>
  <c r="K350" i="8"/>
  <c r="K346" i="8"/>
  <c r="K342" i="8"/>
  <c r="K338" i="8"/>
  <c r="K334" i="8"/>
  <c r="K330" i="8"/>
  <c r="K371" i="8"/>
  <c r="K355" i="8"/>
  <c r="K339" i="8"/>
  <c r="K377" i="8"/>
  <c r="K373" i="8"/>
  <c r="K369" i="8"/>
  <c r="K365" i="8"/>
  <c r="K361" i="8"/>
  <c r="K357" i="8"/>
  <c r="K353" i="8"/>
  <c r="K349" i="8"/>
  <c r="K345" i="8"/>
  <c r="K341" i="8"/>
  <c r="K337" i="8"/>
  <c r="K333" i="8"/>
  <c r="K329" i="8"/>
  <c r="K375" i="8"/>
  <c r="K363" i="8"/>
  <c r="K359" i="8"/>
  <c r="K347" i="8"/>
  <c r="K343" i="8"/>
  <c r="K331" i="8"/>
  <c r="K376" i="8"/>
  <c r="K372" i="8"/>
  <c r="K368" i="8"/>
  <c r="K364" i="8"/>
  <c r="K360" i="8"/>
  <c r="K356" i="8"/>
  <c r="K352" i="8"/>
  <c r="K348" i="8"/>
  <c r="K344" i="8"/>
  <c r="K340" i="8"/>
  <c r="K336" i="8"/>
  <c r="K332" i="8"/>
  <c r="K328" i="8"/>
  <c r="K367" i="8"/>
  <c r="K351" i="8"/>
  <c r="K33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174" i="38" l="1"/>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70" i="38"/>
  <c r="J380" i="38"/>
  <c r="AR363" i="38"/>
  <c r="AR351" i="38"/>
  <c r="AR381" i="38"/>
  <c r="H365" i="38"/>
  <c r="J367" i="38"/>
  <c r="AR375" i="38"/>
  <c r="AR380" i="38"/>
  <c r="AR373" i="38"/>
  <c r="AR374" i="38"/>
  <c r="H283" i="38"/>
  <c r="H284" i="38"/>
  <c r="H295" i="38"/>
  <c r="H286" i="38"/>
  <c r="H270" i="38"/>
  <c r="H298" i="38"/>
  <c r="H334" i="38"/>
  <c r="AR342"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309" i="38"/>
  <c r="H273" i="38"/>
  <c r="J273" i="38"/>
  <c r="H265" i="38"/>
  <c r="AR300" i="38"/>
  <c r="H285" i="38"/>
  <c r="J285" i="38"/>
  <c r="AR272" i="38"/>
  <c r="H269" i="38"/>
  <c r="J269" i="38"/>
  <c r="H263" i="38"/>
  <c r="AR288" i="38"/>
  <c r="AR284" i="38"/>
  <c r="H281" i="38"/>
  <c r="J281" i="38"/>
  <c r="H238" i="38"/>
  <c r="AR292" i="38"/>
  <c r="AR280"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K118" i="38"/>
  <c r="AD133" i="38"/>
  <c r="AQ148" i="38"/>
  <c r="AE150" i="38"/>
  <c r="F162" i="38"/>
  <c r="J162" i="38" s="1"/>
  <c r="F165" i="38"/>
  <c r="J165" i="38" s="1"/>
  <c r="F200" i="38"/>
  <c r="H200" i="38" s="1"/>
  <c r="AP199" i="38"/>
  <c r="AP190" i="38" s="1"/>
  <c r="AM206" i="38"/>
  <c r="AH243" i="38"/>
  <c r="F268" i="38"/>
  <c r="H268" i="38" s="1"/>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C133" i="38"/>
  <c r="AI163"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Q224" i="38"/>
  <c r="AE200" i="38"/>
  <c r="AI200" i="38"/>
  <c r="AM200" i="38"/>
  <c r="AQ200" i="38"/>
  <c r="F206" i="38"/>
  <c r="AI191" i="38"/>
  <c r="AE191" i="38"/>
  <c r="F191" i="38"/>
  <c r="J191" i="38" s="1"/>
  <c r="AM214" i="38"/>
  <c r="AE214" i="38"/>
  <c r="AM207" i="38"/>
  <c r="AI207" i="38"/>
  <c r="F213" i="38"/>
  <c r="AG164" i="38"/>
  <c r="AP149" i="38"/>
  <c r="AL149" i="38"/>
  <c r="AH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E235" i="38"/>
  <c r="AL13" i="38"/>
  <c r="F467" i="38"/>
  <c r="D133" i="38"/>
  <c r="F489" i="38"/>
  <c r="AI383" i="38"/>
  <c r="G327" i="38"/>
  <c r="AF526" i="38"/>
  <c r="AJ499" i="38"/>
  <c r="AB499" i="38"/>
  <c r="F485" i="38"/>
  <c r="AQ459" i="38"/>
  <c r="AM459" i="38"/>
  <c r="AI459" i="38"/>
  <c r="AE459" i="38"/>
  <c r="G222" i="38"/>
  <c r="D96" i="38"/>
  <c r="I327" i="38"/>
  <c r="AI235" i="38"/>
  <c r="F207" i="38"/>
  <c r="AH13" i="38"/>
  <c r="E267" i="38"/>
  <c r="AM235" i="38"/>
  <c r="AQ107" i="38"/>
  <c r="G106" i="38"/>
  <c r="I106" i="38"/>
  <c r="AM107" i="38"/>
  <c r="AO13" i="38"/>
  <c r="AJ13" i="38"/>
  <c r="AM14" i="38"/>
  <c r="AN13" i="38"/>
  <c r="AQ14" i="38"/>
  <c r="AF13" i="38"/>
  <c r="AI14" i="38"/>
  <c r="I12" i="38"/>
  <c r="F17" i="8"/>
  <c r="G17" i="8" s="1"/>
  <c r="J541" i="38" l="1"/>
  <c r="I566" i="38"/>
  <c r="G566" i="38"/>
  <c r="AC328" i="38"/>
  <c r="AG328" i="38"/>
  <c r="D345" i="38"/>
  <c r="AI190" i="38"/>
  <c r="AM190" i="38"/>
  <c r="E526" i="38"/>
  <c r="AR485" i="38"/>
  <c r="J330" i="38"/>
  <c r="J268" i="38"/>
  <c r="H150" i="38"/>
  <c r="F83" i="38"/>
  <c r="H83" i="38" s="1"/>
  <c r="AM312" i="38"/>
  <c r="H458" i="38"/>
  <c r="J224" i="38"/>
  <c r="J103"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Q389" i="38"/>
  <c r="J90" i="38"/>
  <c r="AR117" i="38"/>
  <c r="AN327" i="38"/>
  <c r="H466" i="38"/>
  <c r="J528" i="38"/>
  <c r="AO12" i="38"/>
  <c r="AL12" i="38"/>
  <c r="H163" i="38"/>
  <c r="H338" i="38"/>
  <c r="AM267" i="38"/>
  <c r="AI199" i="38"/>
  <c r="AR191" i="38"/>
  <c r="AP222"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H191" i="38"/>
  <c r="F389" i="38"/>
  <c r="J389" i="38" s="1"/>
  <c r="AQ243" i="38"/>
  <c r="AK222" i="38"/>
  <c r="AQ190" i="38"/>
  <c r="AI389" i="38"/>
  <c r="AI398" i="38"/>
  <c r="AG499" i="38"/>
  <c r="AI499" i="38" s="1"/>
  <c r="AM243" i="38"/>
  <c r="AM199" i="38"/>
  <c r="H44" i="38"/>
  <c r="AR488" i="38"/>
  <c r="F312" i="38"/>
  <c r="H312" i="38" s="1"/>
  <c r="AQ267" i="38"/>
  <c r="AG222" i="38"/>
  <c r="AR467" i="38"/>
  <c r="AE389"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Q398" i="38"/>
  <c r="AR489" i="38"/>
  <c r="AR88" i="38"/>
  <c r="AL106" i="38"/>
  <c r="AM164" i="38"/>
  <c r="AR330" i="38"/>
  <c r="AI243" i="38"/>
  <c r="AR165" i="38"/>
  <c r="AM149" i="38"/>
  <c r="J383" i="38"/>
  <c r="AN222" i="38"/>
  <c r="AH327" i="38"/>
  <c r="E397" i="38"/>
  <c r="AQ47" i="38"/>
  <c r="AG12" i="38"/>
  <c r="H62" i="38"/>
  <c r="AR103" i="38"/>
  <c r="AR131"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107" i="38"/>
  <c r="AI13" i="38"/>
  <c r="AF12" i="38"/>
  <c r="AM13" i="38"/>
  <c r="AR459" i="38"/>
  <c r="AR235" i="38"/>
  <c r="D526" i="38"/>
  <c r="F527" i="38"/>
  <c r="J459" i="38"/>
  <c r="H459" i="38"/>
  <c r="AI328" i="38" l="1"/>
  <c r="AK566" i="38"/>
  <c r="AN566" i="38"/>
  <c r="D327" i="38"/>
  <c r="AJ106" i="38"/>
  <c r="AM106" i="38" s="1"/>
  <c r="AF106" i="38"/>
  <c r="F526" i="38"/>
  <c r="H526" i="38" s="1"/>
  <c r="J83" i="38"/>
  <c r="J214" i="38"/>
  <c r="J96" i="38"/>
  <c r="H89" i="38"/>
  <c r="AQ222" i="38"/>
  <c r="H383" i="38"/>
  <c r="AR527" i="38"/>
  <c r="AR500" i="38"/>
  <c r="J133" i="38"/>
  <c r="AM222" i="38"/>
  <c r="AR89" i="38"/>
  <c r="AQ106" i="38"/>
  <c r="AR133" i="38"/>
  <c r="AR83" i="38"/>
  <c r="H389" i="38"/>
  <c r="AR389" i="38"/>
  <c r="J312" i="38"/>
  <c r="AQ397" i="38"/>
  <c r="AR96" i="38"/>
  <c r="AR526" i="38"/>
  <c r="AR499" i="38"/>
  <c r="AI12" i="38"/>
  <c r="H499" i="38"/>
  <c r="J499" i="38"/>
  <c r="H527" i="38"/>
  <c r="J527"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68" i="30"/>
  <c r="N68" i="30"/>
  <c r="M68" i="30"/>
  <c r="L68" i="30"/>
  <c r="K68" i="30"/>
  <c r="J68" i="30"/>
  <c r="I68" i="30"/>
  <c r="H68" i="30"/>
  <c r="O21" i="29"/>
  <c r="N21" i="29"/>
  <c r="M21" i="29"/>
  <c r="L21" i="29"/>
  <c r="K21" i="29"/>
  <c r="J21" i="29"/>
  <c r="I21" i="29"/>
  <c r="H21" i="29"/>
  <c r="O28" i="28"/>
  <c r="N28" i="28"/>
  <c r="M28" i="28"/>
  <c r="L28" i="28"/>
  <c r="K28" i="28"/>
  <c r="J28" i="28"/>
  <c r="I28" i="28"/>
  <c r="H28" i="28"/>
  <c r="D79" i="27" l="1"/>
  <c r="E15" i="38"/>
  <c r="F15" i="38" s="1"/>
  <c r="D56" i="27"/>
  <c r="J15" i="38" l="1"/>
  <c r="H15" i="38"/>
  <c r="AB15" i="38"/>
  <c r="D55" i="27"/>
  <c r="D54" i="27"/>
  <c r="AD64" i="38"/>
  <c r="AD47" i="38" s="1"/>
  <c r="D53" i="27"/>
  <c r="AD15" i="38"/>
  <c r="D14" i="38"/>
  <c r="AB14" i="38"/>
  <c r="K20"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17" i="42"/>
  <c r="F17" i="42"/>
  <c r="D10" i="42" s="1"/>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AB340" i="38" l="1"/>
  <c r="E340"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P17" i="43"/>
  <c r="D10" i="40"/>
  <c r="D5" i="40" s="1"/>
  <c r="C9" i="27" s="1"/>
  <c r="Y322" i="38"/>
  <c r="J18" i="9"/>
  <c r="Y201" i="38" s="1"/>
  <c r="F340" i="38" l="1"/>
  <c r="E328" i="38"/>
  <c r="F328" i="38" s="1"/>
  <c r="AE340" i="38"/>
  <c r="AR340" i="38" s="1"/>
  <c r="AB328" i="38"/>
  <c r="AE328" i="38" s="1"/>
  <c r="AR328" i="38" s="1"/>
  <c r="D5" i="42"/>
  <c r="C10" i="27" s="1"/>
  <c r="K15" i="24"/>
  <c r="Q15" i="24" s="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F20" i="7"/>
  <c r="Y89" i="38" l="1"/>
  <c r="J328" i="38"/>
  <c r="H328" i="38"/>
  <c r="J340" i="38"/>
  <c r="H340"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G20" i="7"/>
  <c r="AD202" i="38" s="1"/>
  <c r="AE202" i="38" l="1"/>
  <c r="AR202" i="38" s="1"/>
  <c r="AD199" i="38"/>
  <c r="AD190" i="38" s="1"/>
  <c r="AC201" i="38"/>
  <c r="AC199" i="38" s="1"/>
  <c r="D202" i="38"/>
  <c r="Y526" i="38"/>
  <c r="Y327" i="38"/>
  <c r="Y397" i="38"/>
  <c r="Y222" i="38"/>
  <c r="Y499" i="38"/>
  <c r="Z12" i="38"/>
  <c r="Z526" i="38"/>
  <c r="Z327" i="38"/>
  <c r="Z397" i="38"/>
  <c r="Z222" i="38"/>
  <c r="Z190" i="38"/>
  <c r="Z106" i="38" s="1"/>
  <c r="H397" i="38"/>
  <c r="J397" i="38"/>
  <c r="H398" i="38"/>
  <c r="J398" i="38"/>
  <c r="AR397" i="38"/>
  <c r="AE201" i="38" l="1"/>
  <c r="AR201" i="38" s="1"/>
  <c r="F202" i="38"/>
  <c r="D199" i="38"/>
  <c r="Z566" i="38"/>
  <c r="AC190" i="38"/>
  <c r="AE190" i="38" s="1"/>
  <c r="AR190" i="38" s="1"/>
  <c r="AE199" i="38"/>
  <c r="AR199" i="38" s="1"/>
  <c r="I22" i="12"/>
  <c r="I21" i="12"/>
  <c r="I20" i="12"/>
  <c r="I19" i="12"/>
  <c r="I18" i="12"/>
  <c r="I17" i="12"/>
  <c r="I17" i="9"/>
  <c r="I20" i="9"/>
  <c r="I19" i="9"/>
  <c r="I18" i="9"/>
  <c r="C86" i="27"/>
  <c r="C79" i="27"/>
  <c r="C78" i="27"/>
  <c r="C77" i="27"/>
  <c r="C76" i="27"/>
  <c r="C75" i="27"/>
  <c r="C74" i="27"/>
  <c r="C73" i="27"/>
  <c r="C72" i="27"/>
  <c r="C71" i="27"/>
  <c r="C70" i="27"/>
  <c r="C69" i="27"/>
  <c r="J19" i="8"/>
  <c r="J18" i="8"/>
  <c r="J17" i="8"/>
  <c r="F18" i="8"/>
  <c r="G18" i="8" s="1"/>
  <c r="AD28" i="38" s="1"/>
  <c r="C56" i="27"/>
  <c r="C55" i="27"/>
  <c r="C54" i="27"/>
  <c r="G17" i="7"/>
  <c r="AD158" i="38" s="1"/>
  <c r="AD149" i="38" s="1"/>
  <c r="AD106" i="38" s="1"/>
  <c r="E18" i="7"/>
  <c r="G18" i="7" s="1"/>
  <c r="AD225" i="38" s="1"/>
  <c r="J18" i="7"/>
  <c r="G19" i="7"/>
  <c r="AD277" i="38" s="1"/>
  <c r="J19" i="7"/>
  <c r="D248" i="38"/>
  <c r="J20" i="7"/>
  <c r="AE277" i="38" l="1"/>
  <c r="AD267" i="38"/>
  <c r="AE267" i="38" s="1"/>
  <c r="AE225" i="38"/>
  <c r="AD223" i="38"/>
  <c r="AE223" i="38" s="1"/>
  <c r="D190" i="38"/>
  <c r="F190" i="38" s="1"/>
  <c r="F199" i="38"/>
  <c r="J202" i="38"/>
  <c r="H202" i="38"/>
  <c r="F248" i="38"/>
  <c r="D243" i="38"/>
  <c r="AC248" i="38"/>
  <c r="AE248" i="38" s="1"/>
  <c r="AR248" i="38" s="1"/>
  <c r="AC171" i="38"/>
  <c r="AE171" i="38" s="1"/>
  <c r="AB158" i="38"/>
  <c r="AE158" i="38" s="1"/>
  <c r="AR158" i="38" s="1"/>
  <c r="D158" i="38"/>
  <c r="AC315" i="38"/>
  <c r="AF565" i="38"/>
  <c r="AI565" i="38" s="1"/>
  <c r="AF225" i="38"/>
  <c r="E561" i="38"/>
  <c r="E560" i="38" s="1"/>
  <c r="AB69" i="38"/>
  <c r="AB561" i="38"/>
  <c r="D561" i="38"/>
  <c r="D560" i="38" s="1"/>
  <c r="AC565" i="38"/>
  <c r="C103" i="27"/>
  <c r="F19" i="8"/>
  <c r="G19" i="8" s="1"/>
  <c r="E29" i="38" s="1"/>
  <c r="F29" i="38" s="1"/>
  <c r="C57" i="27"/>
  <c r="D10" i="7"/>
  <c r="J29" i="38" l="1"/>
  <c r="H29" i="38"/>
  <c r="J199" i="38"/>
  <c r="H199" i="38"/>
  <c r="J190" i="38"/>
  <c r="H190" i="38"/>
  <c r="D5" i="7"/>
  <c r="C4" i="27" s="1"/>
  <c r="I7" i="45"/>
  <c r="F243" i="38"/>
  <c r="J248" i="38"/>
  <c r="H248" i="38"/>
  <c r="AF560" i="38"/>
  <c r="AC164" i="38"/>
  <c r="AE164" i="38" s="1"/>
  <c r="AC243" i="38"/>
  <c r="AE243" i="38" s="1"/>
  <c r="AR243" i="38" s="1"/>
  <c r="F158" i="38"/>
  <c r="D149" i="38"/>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22" i="12"/>
  <c r="F21" i="12"/>
  <c r="F20" i="12"/>
  <c r="F19" i="12"/>
  <c r="F18" i="12"/>
  <c r="F17" i="12"/>
  <c r="D100" i="27"/>
  <c r="D98" i="27"/>
  <c r="D95" i="27"/>
  <c r="D94" i="27"/>
  <c r="D93" i="27"/>
  <c r="E366" i="38"/>
  <c r="D73" i="27"/>
  <c r="F20" i="9"/>
  <c r="F19" i="9"/>
  <c r="F18" i="9"/>
  <c r="F17" i="9"/>
  <c r="AB28" i="38"/>
  <c r="AJ64" i="38"/>
  <c r="T10" i="4"/>
  <c r="T31" i="4" s="1"/>
  <c r="Q7" i="45" l="1"/>
  <c r="H9" i="45"/>
  <c r="I9" i="45"/>
  <c r="AG348" i="38"/>
  <c r="D74" i="27"/>
  <c r="D225" i="38"/>
  <c r="AH225" i="38"/>
  <c r="D132" i="38"/>
  <c r="AH132" i="38"/>
  <c r="D277" i="38"/>
  <c r="AH277" i="38"/>
  <c r="D171" i="38"/>
  <c r="AH171" i="38"/>
  <c r="I22" i="27"/>
  <c r="Y162" i="38"/>
  <c r="Y149" i="38" s="1"/>
  <c r="Y106" i="38" s="1"/>
  <c r="J243" i="38"/>
  <c r="H243" i="38"/>
  <c r="AD317" i="38"/>
  <c r="AE317" i="38" s="1"/>
  <c r="AR317" i="38" s="1"/>
  <c r="D99" i="27"/>
  <c r="AP348" i="38"/>
  <c r="AQ348" i="38" s="1"/>
  <c r="E348" i="38"/>
  <c r="F348" i="38" s="1"/>
  <c r="F366"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J69" i="38"/>
  <c r="J47" i="38" s="1"/>
  <c r="H69" i="38"/>
  <c r="J561" i="38"/>
  <c r="H561" i="38"/>
  <c r="D69" i="27"/>
  <c r="AP45" i="38"/>
  <c r="F45" i="38"/>
  <c r="D72" i="27"/>
  <c r="AD14" i="38"/>
  <c r="E14" i="38"/>
  <c r="F14" i="38" s="1"/>
  <c r="D89" i="27"/>
  <c r="AB27" i="38"/>
  <c r="AE27" i="38" s="1"/>
  <c r="AR27" i="38" s="1"/>
  <c r="F27" i="38"/>
  <c r="AB21" i="38"/>
  <c r="D13" i="38"/>
  <c r="D10" i="12"/>
  <c r="D10" i="9"/>
  <c r="AB29" i="38"/>
  <c r="Q9" i="45" l="1"/>
  <c r="I10" i="27" s="1"/>
  <c r="P9" i="45"/>
  <c r="AI348" i="38"/>
  <c r="AG345" i="38"/>
  <c r="AD312" i="38"/>
  <c r="AD222" i="38" s="1"/>
  <c r="C7" i="27"/>
  <c r="K31" i="24"/>
  <c r="D5" i="12"/>
  <c r="C8" i="27" s="1"/>
  <c r="K16" i="22"/>
  <c r="AH118" i="38"/>
  <c r="AI132" i="38"/>
  <c r="AR132" i="38" s="1"/>
  <c r="AI277" i="38"/>
  <c r="AR277" i="38" s="1"/>
  <c r="AH267" i="38"/>
  <c r="AI267" i="38" s="1"/>
  <c r="AR267" i="38" s="1"/>
  <c r="D118" i="38"/>
  <c r="F132" i="38"/>
  <c r="AI171" i="38"/>
  <c r="AR171" i="38" s="1"/>
  <c r="AH164" i="38"/>
  <c r="AI164" i="38" s="1"/>
  <c r="AR164" i="38" s="1"/>
  <c r="F277" i="38"/>
  <c r="D267" i="38"/>
  <c r="F267" i="38" s="1"/>
  <c r="AH223" i="38"/>
  <c r="AI225" i="38"/>
  <c r="AR225" i="38" s="1"/>
  <c r="F171" i="38"/>
  <c r="D164" i="38"/>
  <c r="F164" i="38" s="1"/>
  <c r="F225" i="38"/>
  <c r="D223"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M350" i="38"/>
  <c r="AJ345" i="38"/>
  <c r="AB345" i="38"/>
  <c r="AB327" i="38" s="1"/>
  <c r="AE366" i="38"/>
  <c r="AR366" i="38" s="1"/>
  <c r="AB149" i="38"/>
  <c r="AE149" i="38" s="1"/>
  <c r="AR149" i="38" s="1"/>
  <c r="AJ12" i="38"/>
  <c r="AM47" i="38"/>
  <c r="D80" i="27"/>
  <c r="H14" i="38"/>
  <c r="J14" i="38"/>
  <c r="AE14" i="38"/>
  <c r="AR14" i="38" s="1"/>
  <c r="J45" i="38"/>
  <c r="H45" i="38"/>
  <c r="AQ45" i="38"/>
  <c r="AR45" i="38" s="1"/>
  <c r="AP13" i="38"/>
  <c r="AB13" i="38"/>
  <c r="J27" i="38"/>
  <c r="H27" i="38"/>
  <c r="AR348" i="38" l="1"/>
  <c r="AI345" i="38"/>
  <c r="AG327" i="38"/>
  <c r="Q31" i="24"/>
  <c r="Q16" i="22"/>
  <c r="Q62" i="22" s="1"/>
  <c r="I6" i="27" s="1"/>
  <c r="I14" i="27" s="1"/>
  <c r="K62" i="22"/>
  <c r="F223" i="38"/>
  <c r="D222" i="38"/>
  <c r="F222" i="38" s="1"/>
  <c r="J225" i="38"/>
  <c r="H225" i="38"/>
  <c r="AH222" i="38"/>
  <c r="AI222" i="38" s="1"/>
  <c r="AI223" i="38"/>
  <c r="AR223" i="38" s="1"/>
  <c r="J164" i="38"/>
  <c r="H164" i="38"/>
  <c r="H267" i="38"/>
  <c r="J267" i="38"/>
  <c r="J132" i="38"/>
  <c r="H132" i="38"/>
  <c r="J171" i="38"/>
  <c r="H171" i="38"/>
  <c r="H277" i="38"/>
  <c r="J277" i="38"/>
  <c r="F118" i="38"/>
  <c r="D106" i="38"/>
  <c r="F106" i="38" s="1"/>
  <c r="AH106" i="38"/>
  <c r="AI118" i="38"/>
  <c r="AR118" i="38" s="1"/>
  <c r="AB47" i="38"/>
  <c r="AE47" i="38" s="1"/>
  <c r="AR47" i="38" s="1"/>
  <c r="F345" i="38"/>
  <c r="J345" i="38" s="1"/>
  <c r="H327" i="38"/>
  <c r="J327" i="38"/>
  <c r="AE327" i="38"/>
  <c r="AB222" i="38"/>
  <c r="AE222" i="38" s="1"/>
  <c r="AE312" i="38"/>
  <c r="AR312" i="38" s="1"/>
  <c r="AO327" i="38"/>
  <c r="AO566" i="38" s="1"/>
  <c r="AQ345" i="38"/>
  <c r="AM345" i="38"/>
  <c r="AJ327" i="38"/>
  <c r="AM327" i="38" s="1"/>
  <c r="AE345" i="38"/>
  <c r="AR350" i="38"/>
  <c r="AB106" i="38"/>
  <c r="AE106" i="38" s="1"/>
  <c r="AM12" i="38"/>
  <c r="AP12" i="38"/>
  <c r="AP566" i="38" s="1"/>
  <c r="AQ13" i="38"/>
  <c r="AG566" i="38" l="1"/>
  <c r="AI327" i="38"/>
  <c r="AR222" i="38"/>
  <c r="AH566" i="38"/>
  <c r="AI106" i="38"/>
  <c r="AR106" i="38" s="1"/>
  <c r="J222" i="38"/>
  <c r="H222" i="38"/>
  <c r="J118" i="38"/>
  <c r="H118" i="38"/>
  <c r="H223" i="38"/>
  <c r="J223" i="38"/>
  <c r="J106" i="38"/>
  <c r="H106" i="38"/>
  <c r="D566" i="38"/>
  <c r="F8" i="27" s="1"/>
  <c r="AB12" i="38"/>
  <c r="AB566" i="38" s="1"/>
  <c r="H345" i="38"/>
  <c r="AJ566" i="38"/>
  <c r="AR345" i="38"/>
  <c r="AQ327" i="38"/>
  <c r="AQ12" i="38"/>
  <c r="D5" i="9"/>
  <c r="C6" i="27" s="1"/>
  <c r="C80" i="27"/>
  <c r="AR327" i="38" l="1"/>
  <c r="D40" i="27"/>
  <c r="D57" i="27" s="1"/>
  <c r="Y28" i="38"/>
  <c r="AD29" i="38" l="1"/>
  <c r="AE29" i="38" s="1"/>
  <c r="AR29" i="38" s="1"/>
  <c r="Y29" i="38"/>
  <c r="Y13" i="38" s="1"/>
  <c r="Y12" i="38" s="1"/>
  <c r="Y566" i="38" s="1"/>
  <c r="AC28" i="38"/>
  <c r="AE28" i="38" s="1"/>
  <c r="AR28" i="38" s="1"/>
  <c r="E28" i="38"/>
  <c r="F28" i="38" s="1"/>
  <c r="AC21" i="38"/>
  <c r="D10" i="8"/>
  <c r="D5" i="8" l="1"/>
  <c r="C5" i="27" s="1"/>
  <c r="C13" i="27" s="1"/>
  <c r="M62" i="24"/>
  <c r="M74" i="24" s="1"/>
  <c r="K62" i="24"/>
  <c r="K74" i="24" s="1"/>
  <c r="I62" i="24"/>
  <c r="AD13" i="38"/>
  <c r="AD12" i="38" s="1"/>
  <c r="AD566" i="38" s="1"/>
  <c r="J28" i="38"/>
  <c r="H28" i="38"/>
  <c r="F21" i="38"/>
  <c r="E13" i="38"/>
  <c r="AE21" i="38"/>
  <c r="AR21" i="38" s="1"/>
  <c r="AC13" i="38"/>
  <c r="F560" i="38"/>
  <c r="Q62" i="24" l="1"/>
  <c r="Q74" i="24" s="1"/>
  <c r="I18" i="27" s="1"/>
  <c r="I25" i="27" s="1"/>
  <c r="I27" i="27" s="1"/>
  <c r="I74" i="24"/>
  <c r="AC12" i="38"/>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W190" i="38" l="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<sst xmlns="http://schemas.openxmlformats.org/spreadsheetml/2006/main" count="14798" uniqueCount="2631">
  <si>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</si>
  <si>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</si>
  <si>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</si>
  <si>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</si>
  <si>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</si>
  <si>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</si>
  <si>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</si>
  <si>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</si>
  <si>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</si>
  <si>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</si>
  <si>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</si>
  <si>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</si>
  <si>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</si>
  <si>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</si>
  <si>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</si>
  <si>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</si>
  <si>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</si>
  <si>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</si>
  <si>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</si>
  <si>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</si>
  <si>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</si>
  <si>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</si>
  <si>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</si>
  <si>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</si>
  <si>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</si>
  <si>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</si>
  <si>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</si>
  <si>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</si>
  <si>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</si>
  <si>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</si>
  <si>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</si>
  <si>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</si>
  <si>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</si>
  <si>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</si>
  <si>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</si>
  <si>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</si>
  <si>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</si>
  <si>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</si>
  <si>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</si>
  <si>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</si>
  <si>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</si>
  <si>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</si>
  <si>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</si>
  <si>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</si>
  <si>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</si>
  <si>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</si>
  <si>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</si>
  <si>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</si>
  <si>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</si>
  <si>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</si>
  <si>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</si>
  <si>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</si>
  <si>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</si>
  <si>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</si>
  <si>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</si>
  <si>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</si>
  <si>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</si>
  <si>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</si>
  <si>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</si>
  <si>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</si>
  <si>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</si>
  <si>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</si>
  <si>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</si>
  <si>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</si>
  <si>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</si>
  <si>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</si>
  <si>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</si>
  <si>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</si>
  <si>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</si>
  <si>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</si>
  <si>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</si>
  <si>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</si>
  <si>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</si>
  <si>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</si>
  <si>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</si>
  <si>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</si>
  <si>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</si>
  <si>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</si>
  <si>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</si>
  <si>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</si>
  <si>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</si>
  <si>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</si>
  <si>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</si>
  <si>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</si>
  <si>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</si>
  <si>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</si>
  <si>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</si>
  <si>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</si>
  <si>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</si>
  <si>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</si>
  <si>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</si>
  <si>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</si>
  <si>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</si>
  <si>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</si>
  <si>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</si>
  <si>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</si>
  <si>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</si>
  <si>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</si>
  <si>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</si>
  <si>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</si>
  <si>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</si>
  <si>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</si>
  <si>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</si>
  <si>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</si>
  <si>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</si>
  <si>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</si>
  <si>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</si>
  <si>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</si>
  <si>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</si>
  <si>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</si>
  <si>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</si>
  <si>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</si>
  <si>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</si>
  <si>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</si>
  <si>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</si>
  <si>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</si>
  <si>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</si>
  <si>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</si>
  <si>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</si>
  <si>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</si>
  <si>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</si>
  <si>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</si>
  <si>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</si>
  <si>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</si>
  <si>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</si>
  <si>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</si>
  <si>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</si>
  <si>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</si>
  <si>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</si>
  <si>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</si>
  <si>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</si>
  <si>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</si>
  <si>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</si>
  <si>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</si>
  <si>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</si>
  <si>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</si>
  <si>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</si>
  <si>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</si>
  <si>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</si>
  <si>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</si>
  <si>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</si>
  <si>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</si>
  <si>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</si>
  <si>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</si>
  <si>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</si>
  <si>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</si>
  <si>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</si>
  <si>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</si>
  <si>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</si>
  <si>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</si>
  <si>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</si>
  <si>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</si>
  <si>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</si>
  <si>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</si>
  <si>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</si>
  <si>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</si>
  <si>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</si>
  <si>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</si>
  <si>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</si>
  <si>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</si>
  <si>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</si>
  <si>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</si>
  <si>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</si>
  <si>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</si>
  <si>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</si>
  <si>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</si>
  <si>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</si>
  <si>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</si>
  <si>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</si>
  <si>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</si>
  <si>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</si>
  <si>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</si>
  <si>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</si>
  <si>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</si>
  <si>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</si>
  <si>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</si>
  <si>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</si>
  <si>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</si>
  <si>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</si>
  <si>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</si>
  <si>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</si>
  <si>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</si>
  <si>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</si>
  <si>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</si>
  <si>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</si>
  <si>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</si>
  <si>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</si>
  <si>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</si>
  <si>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</si>
  <si>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</si>
  <si>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</si>
  <si>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</si>
  <si>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</si>
  <si>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</si>
  <si>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</si>
  <si>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</si>
  <si>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</si>
  <si>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</si>
  <si>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</si>
  <si>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</si>
  <si>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</si>
  <si>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</si>
  <si>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</si>
  <si>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</si>
  <si>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</si>
  <si>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</si>
  <si>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</si>
  <si>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</si>
  <si>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</si>
  <si>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</si>
  <si>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</si>
  <si>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</si>
  <si>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</si>
  <si>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</si>
  <si>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</si>
  <si>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</si>
  <si>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</si>
  <si>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</si>
  <si>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</si>
  <si>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</si>
  <si>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</si>
  <si>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</si>
  <si>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</si>
  <si>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</si>
  <si>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</si>
  <si>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</si>
  <si>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</si>
  <si>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</si>
  <si>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</si>
  <si>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</si>
  <si>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</si>
  <si>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</si>
  <si>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</si>
  <si>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</si>
  <si>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</si>
  <si>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</si>
  <si>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</si>
  <si>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</si>
  <si>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</si>
  <si>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</si>
  <si>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</si>
  <si>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</si>
  <si>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</si>
  <si>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</si>
  <si>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</si>
  <si>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</si>
  <si>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</si>
  <si>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</si>
  <si>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</si>
  <si>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</si>
  <si>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</si>
  <si>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</si>
  <si>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</si>
  <si>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</si>
  <si>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</si>
  <si>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</si>
  <si>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</si>
  <si>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</si>
  <si>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</si>
  <si>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</si>
  <si>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</si>
  <si>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</si>
  <si>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</si>
  <si>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</si>
  <si>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</si>
  <si>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</si>
  <si>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</si>
  <si>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</si>
  <si>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</si>
  <si>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</si>
  <si>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</si>
  <si>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</si>
  <si>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</si>
  <si>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</si>
  <si>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</si>
  <si>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</si>
  <si>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</si>
  <si>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</si>
  <si>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</si>
  <si>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</si>
  <si>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</si>
  <si>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</si>
  <si>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</si>
  <si>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</si>
  <si>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</si>
  <si>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</si>
  <si>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</si>
  <si>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</si>
  <si>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</si>
  <si>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</si>
  <si>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</si>
  <si>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</si>
  <si>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</si>
  <si>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</si>
  <si>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</si>
  <si>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</si>
  <si>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</si>
  <si>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</si>
  <si>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</si>
  <si>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</si>
  <si>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</si>
  <si>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</si>
  <si>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</si>
  <si>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</si>
  <si>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</si>
  <si>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</si>
  <si>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</si>
  <si>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</si>
  <si>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</si>
  <si>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</si>
  <si>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</si>
  <si>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</si>
  <si>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</si>
  <si>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</si>
  <si>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</si>
  <si>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</si>
  <si>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</si>
  <si>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</si>
  <si>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</si>
  <si>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</si>
  <si>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</si>
  <si>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</si>
  <si>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</si>
  <si>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</si>
  <si>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</si>
  <si>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</si>
  <si>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</si>
  <si>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</si>
  <si>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</si>
  <si>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</si>
  <si>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</si>
  <si>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</si>
  <si>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</si>
  <si>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</si>
  <si>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</si>
  <si>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</si>
  <si>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</si>
  <si>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</si>
  <si>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</si>
  <si>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</si>
  <si>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</si>
  <si>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</si>
  <si>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</si>
  <si>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</si>
  <si>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</si>
  <si>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</si>
  <si>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</si>
  <si>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</si>
  <si>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</si>
  <si>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</si>
  <si>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</si>
  <si>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</si>
  <si>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</si>
  <si>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</si>
  <si>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</si>
  <si>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</si>
  <si>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</si>
  <si>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</si>
  <si>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</si>
  <si>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</si>
  <si>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</si>
  <si>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</si>
  <si>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</si>
  <si>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</si>
  <si>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</si>
  <si>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</si>
  <si>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</si>
  <si>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</si>
  <si>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</si>
  <si>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</si>
  <si>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</si>
  <si>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</si>
  <si>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</si>
  <si>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</si>
  <si>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</si>
  <si>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</si>
  <si>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</si>
  <si>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</si>
  <si>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</si>
  <si>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</si>
  <si>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</si>
  <si>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</si>
  <si>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</si>
  <si>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</si>
  <si>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</si>
  <si>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</si>
  <si>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</si>
  <si>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</si>
  <si>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</si>
  <si>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</si>
  <si>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</si>
  <si>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</si>
  <si>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</si>
  <si>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</si>
  <si>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</si>
  <si>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</si>
  <si>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</si>
  <si>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</si>
  <si>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</si>
  <si>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</si>
  <si>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</si>
  <si>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</si>
  <si>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</si>
  <si>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</si>
  <si>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</si>
  <si>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</si>
  <si>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</si>
  <si>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</si>
  <si>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</si>
  <si>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</si>
  <si>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</si>
  <si>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</si>
  <si>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</si>
  <si>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</si>
  <si>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</si>
  <si>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</si>
  <si>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</si>
  <si>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</si>
  <si>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</si>
  <si>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</si>
  <si>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</si>
  <si>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</si>
  <si>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</si>
  <si>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</si>
  <si>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</si>
  <si>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</si>
  <si>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</si>
  <si>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</si>
  <si>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</si>
  <si>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</si>
  <si>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</si>
  <si>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</si>
  <si>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</si>
  <si>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</si>
  <si>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</si>
  <si>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</si>
  <si>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</si>
  <si>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</si>
  <si>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</si>
  <si>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</si>
  <si>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</si>
  <si>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</si>
  <si>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</si>
  <si>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</si>
  <si>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</si>
  <si>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</si>
  <si>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</si>
  <si>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</si>
  <si>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</si>
  <si>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</si>
  <si>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</si>
  <si>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</si>
  <si>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</si>
  <si>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</si>
  <si>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</si>
  <si>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</si>
  <si>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</si>
  <si>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</si>
  <si>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</si>
  <si>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</si>
  <si>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</si>
  <si>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</si>
  <si>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</si>
  <si>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</si>
  <si>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</si>
  <si>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</si>
  <si>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</si>
  <si>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</si>
  <si>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</si>
  <si>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</si>
  <si>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</si>
  <si>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</si>
  <si>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</si>
  <si>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</si>
  <si>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</si>
  <si>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</si>
  <si>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</si>
  <si>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</si>
  <si>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</si>
  <si>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</si>
  <si>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</si>
  <si>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</si>
  <si>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</si>
  <si>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</si>
  <si>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</si>
  <si>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</si>
  <si>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</si>
  <si>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</si>
  <si>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</si>
  <si>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</si>
  <si>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</si>
  <si>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</si>
  <si>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</si>
  <si>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</si>
  <si>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</si>
  <si>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</si>
  <si>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</si>
  <si>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</si>
  <si>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</si>
  <si>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</si>
  <si>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</si>
  <si>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</si>
  <si>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</si>
  <si>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</si>
  <si>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</si>
  <si>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</si>
  <si>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</si>
  <si>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</si>
  <si>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</si>
  <si>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</si>
  <si>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</si>
  <si>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</si>
  <si>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</si>
  <si>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</si>
  <si>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</si>
  <si>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</si>
  <si>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</si>
  <si>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</si>
  <si>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</si>
  <si>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</si>
  <si>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</si>
  <si>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</si>
  <si>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</si>
  <si>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</si>
  <si>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</si>
  <si>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</si>
  <si>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</si>
  <si>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</si>
  <si>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</si>
  <si>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</si>
  <si>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</si>
  <si>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</si>
  <si>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</si>
  <si>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</si>
  <si>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</si>
  <si>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</si>
  <si>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</si>
  <si>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</si>
  <si>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</si>
  <si>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</si>
  <si>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</si>
  <si>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</si>
  <si>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</si>
  <si>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</si>
  <si>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</si>
  <si>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</si>
  <si>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</si>
  <si>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</si>
  <si>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</si>
  <si>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</si>
  <si>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</si>
  <si>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</si>
  <si>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</si>
  <si>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</si>
  <si>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</si>
  <si>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</si>
  <si>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</si>
  <si>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</si>
  <si>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</si>
  <si>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</si>
  <si>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</si>
  <si>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</si>
  <si>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</si>
  <si>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</si>
  <si>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</si>
  <si>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</si>
  <si>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</si>
  <si>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</si>
  <si>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</si>
  <si>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</si>
  <si>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</si>
  <si>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</si>
  <si>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</si>
  <si>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</si>
  <si>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</si>
  <si>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</si>
  <si>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</si>
  <si>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</si>
  <si>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</si>
  <si>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</si>
  <si>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</si>
  <si>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</si>
  <si>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</si>
  <si>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</si>
  <si>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</si>
  <si>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</si>
  <si>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</si>
  <si>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</si>
  <si>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</si>
  <si>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</si>
  <si>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</si>
  <si>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</si>
  <si>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</si>
  <si>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</si>
  <si>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</si>
  <si>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</si>
  <si>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</si>
  <si>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</si>
  <si>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</si>
  <si>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</si>
  <si>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</si>
  <si>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</si>
  <si>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</si>
  <si>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</si>
  <si>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</si>
  <si>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</si>
  <si>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</si>
  <si>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</si>
  <si>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</si>
  <si>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</si>
  <si>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</si>
  <si>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</si>
  <si>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</si>
  <si>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</si>
  <si>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</si>
  <si>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</si>
  <si>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</si>
  <si>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</si>
  <si>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</si>
  <si>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</si>
  <si>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</si>
  <si>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</si>
  <si>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</si>
  <si>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</si>
  <si>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</si>
  <si>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</si>
  <si>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</si>
  <si>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</si>
  <si>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</si>
  <si>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</si>
  <si>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</si>
  <si>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</si>
  <si>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</si>
  <si>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</si>
  <si>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</si>
  <si>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</si>
  <si>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</si>
  <si>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</si>
  <si>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</si>
  <si>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</si>
  <si>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</si>
  <si>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</si>
  <si>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</si>
  <si>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</si>
  <si>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</si>
  <si>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</si>
  <si>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</si>
  <si>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</si>
  <si>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</si>
  <si>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</si>
  <si>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</si>
  <si>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</si>
  <si>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</si>
  <si>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</si>
  <si>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</si>
  <si>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</si>
  <si>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</si>
  <si>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</si>
  <si>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</si>
  <si>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</si>
  <si>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</si>
  <si>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</si>
  <si>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</si>
  <si>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</si>
  <si>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</si>
  <si>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</si>
  <si>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</si>
  <si>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</si>
  <si>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</si>
  <si>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</si>
  <si>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</si>
  <si>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</si>
  <si>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</si>
  <si>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</si>
  <si>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</si>
  <si>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</si>
  <si>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</si>
  <si>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</si>
  <si>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</si>
  <si>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</si>
  <si>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</si>
  <si>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</si>
  <si>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</si>
  <si>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</si>
  <si>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</si>
  <si>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</si>
  <si>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</si>
  <si>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</si>
  <si>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</si>
  <si>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</si>
  <si>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</si>
  <si>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</si>
  <si>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</si>
  <si>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</si>
  <si>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</si>
  <si>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</si>
  <si>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</si>
  <si>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</si>
  <si>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</si>
  <si>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</si>
  <si>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</si>
  <si>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</si>
  <si>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</si>
  <si>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</si>
  <si>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</si>
  <si>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</si>
  <si>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</si>
  <si>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</si>
  <si>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</si>
  <si>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</si>
  <si>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</si>
  <si>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</si>
  <si>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</si>
  <si>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</si>
  <si>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</si>
  <si>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</si>
  <si>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</si>
  <si>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</si>
  <si>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</si>
  <si>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</si>
  <si>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</si>
  <si>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</si>
  <si>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</si>
  <si>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</si>
  <si>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</si>
  <si>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</si>
  <si>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</si>
  <si>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</si>
  <si>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</si>
  <si>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</si>
  <si>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</si>
  <si>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</si>
  <si>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</si>
  <si>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</si>
  <si>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</si>
  <si>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</si>
  <si>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</si>
  <si>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</si>
  <si>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</si>
  <si>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</si>
  <si>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</si>
  <si>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</si>
  <si>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</si>
  <si>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</si>
  <si>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</si>
  <si>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</si>
  <si>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</si>
  <si>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</si>
  <si>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</si>
  <si>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</si>
  <si>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</si>
  <si>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</si>
  <si>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</si>
  <si>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</si>
  <si>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</si>
  <si>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</si>
  <si>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</si>
  <si>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</si>
  <si>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</si>
  <si>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</si>
  <si>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</si>
  <si>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</si>
  <si>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</si>
  <si>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</si>
  <si>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</si>
  <si>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</si>
  <si>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</si>
  <si>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</si>
  <si>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</si>
  <si>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</si>
  <si>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</si>
  <si>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</si>
  <si>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</si>
  <si>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</si>
  <si>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</si>
  <si>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</si>
  <si>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</si>
  <si>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</si>
  <si>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</si>
  <si>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</si>
  <si>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</si>
  <si>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</si>
  <si>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</si>
  <si>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</si>
  <si>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</si>
  <si>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</si>
  <si>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</si>
  <si>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</si>
  <si>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</si>
  <si>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</si>
  <si>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</si>
  <si>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</si>
  <si>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</si>
  <si>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</si>
  <si>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</si>
  <si>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</si>
  <si>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</si>
  <si>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</si>
  <si>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</si>
  <si>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</si>
  <si>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</si>
  <si>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</si>
  <si>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</si>
  <si>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</si>
  <si>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</si>
  <si>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</si>
  <si>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</si>
  <si>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</si>
  <si>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</si>
  <si>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</si>
  <si>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</si>
  <si>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</si>
  <si>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</si>
  <si>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</si>
  <si>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</si>
  <si>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</si>
  <si>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</si>
  <si>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</si>
  <si>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</si>
  <si>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</si>
  <si>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</si>
  <si>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</si>
  <si>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</si>
  <si>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</si>
  <si>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</si>
  <si>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</si>
  <si>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</si>
  <si>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</si>
  <si>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</si>
  <si>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</si>
  <si>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</si>
  <si>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</si>
  <si>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</si>
  <si>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</si>
  <si>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</si>
  <si>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</si>
  <si>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</si>
  <si>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</si>
  <si>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</si>
  <si>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</si>
  <si>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</si>
  <si>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</si>
  <si>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</si>
  <si>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</si>
  <si>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</si>
  <si>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</si>
  <si>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</si>
  <si>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</si>
  <si>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</si>
  <si>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</si>
  <si>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</si>
  <si>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</si>
  <si>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</si>
  <si>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</si>
  <si>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</si>
  <si>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</si>
  <si>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</si>
  <si>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</si>
  <si>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</si>
  <si>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</si>
  <si>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</si>
  <si>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</si>
  <si>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</si>
  <si>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</si>
  <si>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</si>
  <si>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</si>
  <si>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</si>
  <si>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</si>
  <si>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</si>
  <si>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</si>
  <si>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</si>
  <si>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</si>
  <si>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</si>
  <si>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</si>
  <si>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</si>
  <si>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</si>
  <si>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</si>
  <si>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</si>
  <si>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</si>
  <si>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</si>
  <si>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</si>
  <si>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</si>
  <si>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</si>
  <si>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</si>
  <si>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</si>
  <si>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</si>
  <si>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</si>
  <si>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</si>
  <si>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</si>
  <si>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</si>
  <si>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</si>
  <si>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</si>
  <si>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</si>
  <si>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</si>
  <si>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</si>
  <si>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</si>
  <si>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</si>
  <si>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</si>
  <si>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</si>
  <si>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</si>
  <si>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</si>
  <si>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</si>
  <si>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</si>
  <si>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</si>
  <si>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</si>
  <si>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</si>
  <si>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</si>
  <si>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</si>
  <si>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</si>
  <si>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</si>
  <si>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</si>
  <si>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</si>
  <si>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</si>
  <si>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</si>
  <si>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</si>
  <si>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</si>
  <si>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</si>
  <si>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</si>
  <si>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</si>
  <si>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</si>
  <si>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</si>
  <si>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</si>
  <si>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</si>
  <si>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</si>
  <si>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</si>
  <si>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</si>
  <si>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</si>
  <si>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</si>
  <si>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</si>
  <si>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</si>
  <si>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</si>
  <si>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</si>
  <si>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</si>
  <si>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</si>
  <si>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</si>
  <si>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</si>
  <si>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</si>
  <si>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</si>
  <si>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</si>
  <si>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</si>
  <si>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</si>
  <si>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</si>
  <si>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</si>
  <si>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</si>
  <si>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</si>
  <si>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</si>
  <si>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</si>
  <si>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</si>
  <si>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</si>
  <si>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</si>
  <si>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</si>
  <si>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</si>
  <si>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</si>
  <si>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</si>
  <si>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</si>
  <si>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</si>
  <si>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</si>
  <si>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</si>
  <si>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</si>
  <si>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</si>
  <si>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</si>
  <si>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</si>
  <si>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</si>
  <si>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</si>
  <si>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</si>
  <si>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</si>
  <si>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</si>
  <si>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</si>
  <si>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</si>
  <si>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</si>
  <si>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</si>
  <si>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</si>
  <si>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</si>
  <si>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</si>
  <si>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</si>
  <si>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</si>
  <si>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</si>
  <si>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</si>
  <si>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</si>
  <si>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</si>
  <si>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</si>
  <si>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</si>
  <si>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</si>
  <si>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</si>
  <si>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</si>
  <si>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</si>
  <si>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</si>
  <si>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</si>
  <si>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</si>
  <si>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</si>
  <si>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</si>
  <si>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</si>
  <si>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</si>
  <si>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</si>
  <si>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</si>
  <si>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</si>
  <si>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</si>
  <si>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</si>
  <si>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</si>
  <si>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</si>
  <si>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</si>
  <si>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</si>
  <si>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</si>
  <si>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</si>
  <si>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</si>
  <si>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</si>
  <si>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</si>
  <si>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</si>
  <si>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</si>
  <si>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</si>
  <si>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</si>
  <si>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</si>
  <si>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</si>
  <si>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</si>
  <si>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</si>
  <si>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</si>
  <si>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</si>
  <si>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</si>
  <si>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</si>
  <si>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</si>
  <si>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</si>
  <si>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</si>
  <si>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</si>
  <si>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</si>
  <si>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</si>
  <si>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</si>
  <si>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</si>
  <si>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</si>
  <si>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</si>
  <si>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</si>
  <si>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</si>
  <si>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</si>
  <si>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</si>
  <si>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</si>
  <si>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</si>
  <si>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</si>
  <si>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</si>
  <si>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</si>
  <si>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</si>
  <si>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</si>
  <si>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</si>
  <si>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</si>
  <si>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</si>
  <si>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</si>
  <si>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</si>
  <si>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</si>
  <si>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</si>
  <si>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</si>
  <si>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</si>
  <si>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</si>
  <si>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</si>
  <si>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</si>
  <si>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</si>
  <si>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</si>
  <si>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</si>
  <si>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</si>
  <si>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</si>
  <si>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</si>
  <si>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</si>
  <si>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</si>
  <si>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</si>
  <si>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</si>
  <si>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</si>
  <si>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</si>
  <si>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</si>
  <si>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</si>
  <si>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</si>
  <si>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</si>
  <si>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</si>
  <si>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</si>
  <si>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</si>
  <si>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</si>
  <si>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</si>
  <si>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</si>
  <si>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</si>
  <si>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</si>
  <si>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</si>
  <si>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</si>
  <si>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</si>
  <si>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</si>
  <si>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</si>
  <si>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</si>
  <si>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</si>
  <si>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</si>
  <si>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</si>
  <si>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</si>
  <si>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</si>
  <si>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</si>
  <si>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</si>
  <si>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</si>
  <si>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</si>
  <si>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</si>
  <si>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</si>
  <si>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</si>
  <si>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</si>
  <si>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</si>
  <si>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</si>
  <si>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</si>
  <si>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</si>
  <si>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</si>
  <si>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</si>
  <si>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</si>
  <si>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</si>
  <si>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</si>
  <si>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</si>
  <si>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</si>
  <si>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</si>
  <si>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</si>
  <si>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</si>
  <si>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</si>
  <si>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</si>
  <si>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</si>
  <si>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</si>
  <si>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</si>
  <si>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</si>
  <si>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</si>
  <si>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</si>
  <si>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</si>
  <si>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</si>
  <si>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</si>
  <si>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</si>
  <si>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</si>
  <si>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</si>
  <si>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</si>
  <si>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</si>
  <si>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</si>
  <si>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</si>
  <si>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</si>
  <si>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</si>
  <si>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</si>
  <si>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</si>
  <si>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</si>
  <si>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</si>
  <si>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</si>
  <si>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</si>
  <si>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</si>
  <si>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</si>
  <si>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</si>
  <si>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</si>
  <si>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</si>
  <si>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</si>
  <si>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</si>
  <si>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</si>
  <si>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</si>
  <si>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</si>
  <si>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</si>
  <si>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</si>
  <si>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</si>
  <si>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</si>
  <si>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</si>
  <si>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</si>
  <si>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</si>
  <si>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</si>
  <si>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</si>
  <si>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</si>
  <si>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</si>
  <si>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</si>
  <si>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</si>
  <si>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</si>
  <si>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</si>
  <si>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</si>
  <si>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</si>
  <si>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</si>
  <si>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</si>
  <si>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</si>
  <si>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</si>
  <si>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</si>
  <si>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</si>
  <si>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</si>
  <si>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</si>
  <si>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</si>
  <si>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</si>
  <si>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</si>
  <si>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</si>
  <si>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</si>
  <si>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</si>
  <si>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</si>
  <si>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</si>
  <si>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</si>
  <si>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</si>
  <si>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</si>
  <si>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</si>
  <si>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</si>
  <si>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</si>
  <si>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</si>
  <si>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</si>
  <si>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</si>
  <si>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</si>
  <si>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</si>
  <si>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</si>
  <si>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</si>
  <si>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</si>
  <si>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</si>
  <si>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</si>
  <si>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</si>
  <si>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</si>
  <si>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</si>
  <si>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</si>
  <si>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</si>
  <si>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</si>
  <si>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</si>
  <si>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</si>
  <si>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</si>
  <si>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</si>
  <si>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</si>
  <si>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</si>
  <si>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</si>
  <si>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</si>
  <si>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</si>
  <si>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</si>
  <si>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</si>
  <si>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</si>
  <si>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</si>
  <si>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</si>
  <si>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</si>
  <si>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</si>
  <si>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</si>
  <si>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</si>
  <si>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</si>
  <si>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</si>
  <si>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</si>
  <si>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</si>
  <si>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</si>
  <si>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</si>
  <si>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</si>
  <si>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</si>
  <si>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</si>
  <si>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</si>
  <si>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</si>
  <si>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</si>
  <si>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</si>
  <si>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</si>
  <si>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</si>
  <si>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</si>
  <si>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</si>
  <si>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</si>
  <si>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</si>
  <si>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</si>
  <si>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</si>
  <si>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</si>
  <si>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</si>
  <si>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</si>
  <si>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</si>
  <si>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</si>
  <si>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</si>
  <si>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</si>
  <si>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</si>
  <si>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</si>
  <si>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</si>
  <si>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</si>
  <si>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</si>
  <si>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</si>
  <si>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</si>
  <si>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</si>
  <si>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</si>
  <si>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</si>
  <si>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</si>
  <si>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</si>
  <si>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</si>
  <si>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</si>
  <si>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</si>
  <si>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</si>
  <si>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</si>
  <si>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</si>
  <si>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</si>
  <si>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</si>
  <si>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</si>
  <si>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</si>
  <si>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</si>
  <si>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</si>
  <si>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</si>
  <si>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</si>
  <si>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</si>
  <si>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</si>
  <si>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</si>
  <si>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</si>
  <si>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</si>
  <si>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</si>
  <si>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</si>
  <si>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</si>
  <si>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</si>
  <si>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</si>
  <si>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</si>
  <si>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</si>
  <si>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</si>
  <si>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</si>
  <si>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</si>
  <si>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</si>
  <si>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</si>
  <si>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</si>
  <si>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</si>
  <si>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</si>
  <si>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</si>
  <si>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</si>
  <si>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</si>
  <si>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</si>
  <si>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</si>
  <si>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</si>
  <si>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</si>
  <si>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</si>
  <si>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</si>
  <si>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</si>
  <si>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</si>
  <si>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</si>
  <si>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</si>
  <si>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</si>
  <si>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</si>
  <si>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</si>
  <si>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</si>
  <si>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</si>
  <si>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</si>
  <si>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</si>
  <si>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</si>
  <si>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</si>
  <si>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</si>
  <si>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</si>
  <si>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</si>
  <si>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</si>
  <si>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</si>
  <si>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</si>
  <si>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</si>
  <si>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</si>
  <si>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</si>
  <si>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</si>
  <si>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</si>
  <si>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</si>
  <si>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</si>
  <si>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</si>
  <si>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</si>
  <si>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</si>
  <si>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</si>
  <si>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</si>
  <si>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</si>
  <si>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</si>
  <si>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</si>
  <si>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</si>
  <si>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</si>
  <si>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</si>
  <si>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</si>
  <si>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</si>
  <si>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</si>
  <si>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</si>
  <si>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</si>
  <si>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</si>
  <si>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</si>
  <si>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</si>
  <si>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</si>
  <si>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</si>
  <si>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</si>
  <si>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</si>
  <si>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</si>
  <si>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</si>
  <si>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</si>
  <si>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</si>
  <si>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</si>
  <si>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</si>
  <si>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</si>
  <si>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</si>
  <si>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</si>
  <si>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</si>
  <si>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</si>
  <si>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</si>
  <si>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</si>
  <si>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</si>
  <si>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</si>
  <si>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</si>
  <si>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</si>
  <si>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</si>
  <si>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</si>
  <si>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</si>
  <si>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</si>
  <si>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</si>
  <si>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</si>
  <si>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</si>
  <si>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</si>
  <si>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</si>
  <si>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</si>
  <si>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</si>
  <si>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</si>
  <si>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</si>
  <si>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</si>
  <si>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</si>
  <si>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</si>
  <si>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</si>
  <si>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</si>
  <si>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</si>
  <si>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</si>
  <si>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</si>
  <si>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</si>
  <si>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</si>
  <si>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</si>
  <si>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</si>
  <si>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</si>
  <si>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</si>
  <si>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</si>
  <si>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</si>
  <si>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</si>
  <si>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</si>
  <si>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</si>
  <si>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</si>
  <si>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</si>
  <si>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</si>
  <si>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</si>
  <si>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</si>
  <si>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</si>
  <si>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</si>
  <si>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</si>
  <si>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</si>
  <si>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</si>
  <si>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</si>
  <si>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</si>
  <si>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</si>
  <si>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</si>
  <si>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</si>
  <si>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</si>
  <si>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</si>
  <si>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</si>
  <si>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</si>
  <si>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</si>
  <si>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</si>
  <si>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</si>
  <si>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</si>
  <si>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</si>
  <si>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</si>
  <si>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</si>
  <si>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</si>
  <si>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</si>
  <si>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</si>
  <si>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</si>
  <si>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</si>
  <si>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</si>
  <si>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</si>
  <si>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</si>
  <si>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</si>
  <si>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</si>
  <si>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</si>
  <si>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</si>
  <si>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</si>
  <si>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</si>
  <si>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</si>
  <si>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</si>
  <si>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</si>
  <si>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</si>
  <si>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</si>
  <si>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</si>
  <si>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</si>
  <si>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</si>
  <si>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</si>
  <si>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</si>
  <si>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</si>
  <si>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</si>
  <si>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</si>
  <si>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</si>
  <si>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</si>
  <si>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Fortalecer de manera permanente y sostenida la Vinculación de la UNAH con el Estado, sus graduados, las fuerzas sociales, productivas y demás que integran la sociedad hondureña.</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</si>
  <si>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</si>
  <si>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</si>
  <si>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</si>
  <si>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</si>
  <si>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</si>
  <si>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</si>
  <si>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</si>
  <si>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</si>
  <si>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</si>
  <si>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</si>
  <si>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</si>
  <si>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</si>
  <si>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</si>
  <si>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</si>
  <si>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</si>
  <si>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</si>
  <si>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</si>
  <si>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</si>
  <si>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</si>
  <si>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</si>
  <si>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</si>
  <si>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</si>
  <si>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</si>
  <si>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</si>
  <si>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</si>
  <si>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</si>
  <si>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</si>
  <si>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</si>
  <si>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</si>
  <si>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</si>
  <si>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</si>
  <si>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</si>
  <si>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</si>
  <si>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</si>
  <si>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</si>
  <si>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</si>
  <si>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</si>
  <si>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</si>
  <si>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</si>
  <si>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</si>
  <si>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</si>
  <si>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</si>
  <si>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</si>
  <si>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</si>
  <si>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</si>
  <si>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</si>
  <si>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</si>
  <si>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</si>
  <si>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</si>
  <si>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</si>
  <si>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</si>
  <si>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</si>
  <si>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</si>
  <si>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</si>
  <si>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</si>
  <si>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</si>
  <si>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</si>
  <si>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</si>
  <si>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</si>
  <si>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</si>
  <si>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</si>
  <si>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</si>
  <si>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</si>
  <si>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</si>
  <si>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</si>
  <si>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</si>
  <si>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</si>
  <si>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</si>
  <si>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</si>
  <si>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</si>
  <si>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</si>
  <si>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</si>
  <si>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</si>
  <si>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</si>
  <si>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</si>
  <si>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</si>
  <si>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</si>
  <si>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</si>
  <si>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</si>
  <si>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</si>
  <si>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</si>
  <si>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</si>
  <si>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</si>
  <si>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</si>
  <si>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</si>
  <si>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</si>
  <si>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</si>
  <si>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</si>
  <si>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</si>
  <si>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</si>
  <si>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</si>
  <si>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</si>
  <si>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</si>
  <si>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</si>
  <si>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</si>
  <si>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</si>
  <si>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</si>
  <si>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</si>
  <si>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</si>
  <si>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</si>
  <si>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</si>
  <si>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</si>
  <si>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</si>
  <si>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</si>
  <si>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</si>
  <si>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</si>
  <si>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</si>
  <si>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</si>
  <si>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</si>
  <si>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</si>
  <si>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</si>
  <si>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</si>
  <si>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</si>
  <si>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</si>
  <si>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</si>
  <si>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</si>
  <si>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</si>
  <si>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</si>
  <si>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</si>
  <si>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</si>
  <si>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</si>
  <si>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</si>
  <si>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</si>
  <si>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</si>
  <si>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</si>
  <si>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</si>
  <si>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</si>
  <si>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</si>
  <si>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</si>
  <si>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</si>
  <si>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</si>
  <si>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</si>
  <si>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</si>
  <si>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</si>
  <si>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</si>
  <si>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</si>
  <si>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</si>
  <si>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</si>
  <si>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</si>
  <si>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</si>
  <si>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</si>
  <si>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</si>
  <si>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</si>
  <si>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</si>
  <si>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</si>
  <si>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</si>
  <si>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</si>
  <si>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</si>
  <si>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</si>
  <si>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</si>
  <si>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</si>
  <si>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</si>
  <si>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</si>
  <si>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</si>
  <si>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</si>
  <si>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</si>
  <si>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</si>
  <si>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</si>
  <si>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</si>
  <si>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</si>
  <si>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</si>
  <si>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</si>
  <si>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</si>
  <si>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</si>
  <si>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</si>
  <si>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</si>
  <si>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</si>
  <si>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</si>
  <si>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</si>
  <si>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</si>
  <si>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</si>
  <si>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</si>
  <si>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</si>
  <si>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</si>
  <si>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</si>
  <si>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</si>
  <si>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</si>
  <si>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</si>
  <si>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</si>
  <si>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</si>
  <si>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</si>
  <si>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</si>
  <si>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</si>
  <si>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</si>
  <si>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</si>
  <si>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</si>
  <si>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</si>
  <si>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</si>
  <si>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</si>
  <si>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</si>
  <si>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</si>
  <si>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</si>
  <si>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</si>
  <si>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</si>
  <si>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</si>
  <si>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</si>
  <si>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</si>
  <si>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</si>
  <si>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</si>
  <si>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</si>
  <si>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</si>
  <si>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</si>
  <si>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</si>
  <si>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</si>
  <si>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</si>
  <si>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</si>
  <si>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</si>
  <si>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</si>
  <si>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</si>
  <si>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</si>
  <si>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</si>
  <si>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</si>
  <si>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</si>
  <si>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</si>
  <si>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</si>
  <si>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</si>
  <si>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</si>
  <si>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</si>
  <si>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</si>
  <si>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</si>
  <si>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</si>
  <si>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</si>
  <si>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</si>
  <si>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</si>
  <si>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</si>
  <si>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</si>
  <si>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</si>
  <si>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</si>
  <si>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</si>
  <si>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</si>
  <si>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</si>
  <si>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</si>
  <si>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</si>
  <si>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</si>
  <si>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</si>
  <si>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</si>
  <si>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</si>
  <si>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</si>
  <si>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Listado de participantes en el Recital </t>
  </si>
  <si>
    <t xml:space="preserve">Población de la Zona Oriental </t>
  </si>
  <si>
    <t xml:space="preserve">Humanidades </t>
  </si>
  <si>
    <t xml:space="preserve">Recital desarrollado </t>
  </si>
  <si>
    <t xml:space="preserve">Reflejado el rol de UNAH-TEC en la Zona Oriental como un agente de desarrollo comunitario </t>
  </si>
  <si>
    <t xml:space="preserve">Estrechar y fomentar la apreciaciòn literararia de la comunidad desde la universidad La promoción de la cultura y la literatura desde la Universidad </t>
  </si>
  <si>
    <t xml:space="preserve">Desarrollo de Recital poético "A cuatro voces" </t>
  </si>
  <si>
    <t xml:space="preserve">Almuerzos </t>
  </si>
  <si>
    <t xml:space="preserve">Refrigerio </t>
  </si>
  <si>
    <t xml:space="preserve">combustible </t>
  </si>
  <si>
    <t xml:space="preserve">Reconocimientos </t>
  </si>
  <si>
    <t xml:space="preserve">Sonido </t>
  </si>
  <si>
    <t>Impartir la clase de español a los alumnos de II de bachillerato en La Granja Penal de la ciudad de Danlí, El Paraíso  los siguientes meses  de febrero a  junio del 2017</t>
  </si>
  <si>
    <t>N° de clases brindadas</t>
  </si>
  <si>
    <t>3.7.1.DH</t>
  </si>
  <si>
    <t>Constancia de las Clases Brindadas</t>
  </si>
  <si>
    <t>Estudiantes de Bahillerato del Centro Penal de Danlí</t>
  </si>
  <si>
    <t xml:space="preserve">Esta materia tiene como objeto el conocimiento de los distintos tipos de discursos y, en particular el científico y el literario. Se propone consolidar y ampliar la competencia comunicativa del estudiante de Bachillerato, que es una condición imprescindible para el logro de los fines formativos y propedéuticos asignados a esta etapa.  </t>
  </si>
  <si>
    <t xml:space="preserve">Reproducción de materiales </t>
  </si>
  <si>
    <t xml:space="preserve">Combustible </t>
  </si>
  <si>
    <t>Cofe Break</t>
  </si>
  <si>
    <t xml:space="preserve">Taller de Literatura Infantil denominado “Leyendo Juntos” y Taller de Lecto-escritura
a los alumnos del centro básico Francisco Morazán, ubicado en la aldea  El Pescadero, Danlí departamento de El Paraíso y otras escuelas gubernamentales de la zona.
</t>
  </si>
  <si>
    <t xml:space="preserve">Taller Realizado </t>
  </si>
  <si>
    <t>3.7.2.DH</t>
  </si>
  <si>
    <t xml:space="preserve">Constancia de Talleres Realizados </t>
  </si>
  <si>
    <r>
      <rPr>
        <sz val="7"/>
        <color rgb="FF111111"/>
        <rFont val="Times New Roman"/>
        <family val="1"/>
      </rPr>
      <t xml:space="preserve">  </t>
    </r>
    <r>
      <rPr>
        <sz val="11"/>
        <color rgb="FF111111"/>
        <rFont val="Calibri"/>
        <family val="2"/>
      </rPr>
      <t>Desarrollar aptitudes y destrezas en literatura,  con el fin de acercar a los alumnos al texto literario  en sus diferentes formas, para la estimulación y la valoración de la lectura.  Reavivar la costumbre social de narrar y escuchar cuentos como alternativa para desarrollar la creatividad e imaginación de los niños.</t>
    </r>
  </si>
  <si>
    <t>Centro basico Francisco Morazan El Pescadero Danlí</t>
  </si>
  <si>
    <t>3.5.1.DH</t>
  </si>
  <si>
    <t>documentos sometidos a aprobación</t>
  </si>
  <si>
    <t>Listado de proyectos de investigación participando en becas</t>
  </si>
  <si>
    <t>La investigación es uno de los elementos importantes en todas las áreas del conocimiento, contribuyendo al mejoramiento de la calidad de enseñanza superior</t>
  </si>
  <si>
    <t>UNAH-TEC identifican los proyectos de investigación, cuyos resultados sean susceptibles de protección, uso y explotación de la propiedad intelectual.</t>
  </si>
  <si>
    <t>2.a.2.1.DH</t>
  </si>
  <si>
    <t>Postular a becas basica de investigación con el tema Manifestaciones literarias en la Zona Oriental (Interdisciplinar)</t>
  </si>
  <si>
    <t>Docentes de Humanidades</t>
  </si>
  <si>
    <t>Departamento de Humanidades</t>
  </si>
  <si>
    <t>11.2.1.DH</t>
  </si>
  <si>
    <t xml:space="preserve">Departamentos Equipados </t>
  </si>
  <si>
    <t xml:space="preserve">Fortalecer al Departamento de Humanidades con la adquisición de mobiliario necesario para el mejoramiento del proceso enseñanza aprendizaje. </t>
  </si>
  <si>
    <t xml:space="preserve">Equipo comprado </t>
  </si>
  <si>
    <t>UNAH-TEC-DANLI</t>
  </si>
  <si>
    <t>RECTORIA, SEDI, SEAF, INFORMATICA, DIRECCION Y ADMINISTRACION UNAH-TEC, DEPTO DE COMPRAS.</t>
  </si>
  <si>
    <t>11.4.1.DH</t>
  </si>
  <si>
    <t xml:space="preserve">Contratación de profesores por hora en las de Filosofia y Lenguas Extranjeras </t>
  </si>
  <si>
    <t xml:space="preserve">docente contratado </t>
  </si>
  <si>
    <t xml:space="preserve">Docentes contratados </t>
  </si>
  <si>
    <t>Docentes contratados de acuerdo a la demanda estudiantil de UNAH-TEC</t>
  </si>
  <si>
    <t>11.5.1.DH</t>
  </si>
  <si>
    <t>Para poder dar cobertura a la demanda estudiantil presentada en los periodos academicos</t>
  </si>
  <si>
    <t>Gestionar la ampliaciòn del espacio fìsico del area Cultura Fìsica.</t>
  </si>
  <si>
    <t xml:space="preserve">Proyectos concluidos </t>
  </si>
  <si>
    <t>UNAH_TEC</t>
  </si>
  <si>
    <t>Autoridades Universitarias de CU así como la Dirección del centro.</t>
  </si>
  <si>
    <t>Para lograr un excelente desarrollo pedagògico y practico del area de la salud mediante la praàctica de ejercicios</t>
  </si>
  <si>
    <t>Asistencias Realizadas</t>
  </si>
  <si>
    <t xml:space="preserve">Asistencia Psicologica-Medica-Odontologica con niños y niñas del Centro Infantil Raul Sevilla No.7 </t>
  </si>
  <si>
    <t xml:space="preserve">El C.D.I. es una entidad gubernamental creada con el objetivo de velar por el bienestar integral de niños y niñas pero no cuenta con Psicologia, Pediatria y Odontologia. </t>
  </si>
  <si>
    <t xml:space="preserve">Listado de niños atendidos </t>
  </si>
  <si>
    <t xml:space="preserve">Niños del centro infantil Raúl Sevilla </t>
  </si>
  <si>
    <t>Departamento de Ciencias Sociales</t>
  </si>
  <si>
    <t>3.5.2.DCS</t>
  </si>
  <si>
    <t>3.5.3.DCS</t>
  </si>
  <si>
    <t>Instalación de una placa en la estatua de Manuel Adalid y Gamero en el Parque Central de Danlí.</t>
  </si>
  <si>
    <t xml:space="preserve">Fomentar la identidad local y cultural de la comunidad danlidense a travez del recoocimiento intelectual de Manuel de Adalid y Gamero y Lucila Gamero de Medina a travez la colocaciòn de una placa conmemorativa. </t>
  </si>
  <si>
    <t>Placa instalada en el Parque Central de Danlí</t>
  </si>
  <si>
    <t>Comunidad de Danlí</t>
  </si>
  <si>
    <t xml:space="preserve">Placa </t>
  </si>
  <si>
    <t xml:space="preserve">Gastos de instalación de la placa </t>
  </si>
  <si>
    <t>Postular a beca de basica Proyecto de Investigacion Multidiciplinaria sobre escritores  y su vinculacion con el contexto historico.</t>
  </si>
  <si>
    <t>Postular beca basica con el tema Incidencia de las actitudes y valores de los habitantes del Municipio de Jacaleapa en los cambios sociales y culturales para el desarrollo local</t>
  </si>
  <si>
    <t>2.a.2.2.DCS</t>
  </si>
  <si>
    <t>2.a.2.3.DCS</t>
  </si>
  <si>
    <t>Contrbuir a fomentar y difundir  la cultura inmaterial en la regiòn oriental a travez del rescate de la producciòn literaria de la zona.</t>
  </si>
  <si>
    <t xml:space="preserve">Esta investigacion permitira fortalecer la identidad local del departamento de El Paraiso, por mdeio del estudio de valores nacionales que sustenten la ciudadania hondureña. </t>
  </si>
  <si>
    <t xml:space="preserve">Docentes de Ciencias Sociales </t>
  </si>
  <si>
    <t xml:space="preserve">Departamento de Ciencias Sociales y Coordinación Regional </t>
  </si>
  <si>
    <t xml:space="preserve">Departamento de Humanidades y Coordinación Regional </t>
  </si>
  <si>
    <t xml:space="preserve">Gestionar Taller: Uso del manual para la transversalizaciòn del eje de ètica. Vice Rectoria Academica </t>
  </si>
  <si>
    <t>7.1.1.LE</t>
  </si>
  <si>
    <t xml:space="preserve">El Uso del manual para la transversalizaciòn del eje de ètica, permitirà institucionalizar en UNAH-TEC-DANLÌ, un proceso de aprendizaje que rescate  </t>
  </si>
  <si>
    <t>Personal docente de UNAH-TEC</t>
  </si>
  <si>
    <t>Coodinador Regional de lo Esencial</t>
  </si>
  <si>
    <t>Taller brindado</t>
  </si>
  <si>
    <t xml:space="preserve">Los docentes de UNAH-TEC adquieren conocimientos sobre el Eje de Etica </t>
  </si>
  <si>
    <t xml:space="preserve">Taller brindado </t>
  </si>
  <si>
    <t xml:space="preserve">Gestionar beca basica con el  Tema Componentes cognitivos y simbólicos significativos del municipio de Teupasenti. </t>
  </si>
  <si>
    <t>7.3.1.LE</t>
  </si>
  <si>
    <t>Esta investigaciòn permitirà mostrar la riqueza cultural  del municipio de Teupasenti, en cuanto a sus componentes cognitivos y simbólicos significativos; sus expresiones  intangibles que les caracteriza; desde explicaciones místicas del universo, conocimientos, creencias, valores y actitudes hacia el estudio hasta los símbolos que identifica al municipio: Con el objeto de preservar en el tiempo estas manifestaciones</t>
  </si>
  <si>
    <t xml:space="preserve">Investigación aprobada </t>
  </si>
  <si>
    <t>Municipio de Teupasenti</t>
  </si>
  <si>
    <t>Coodinación de lo esencial</t>
  </si>
  <si>
    <t xml:space="preserve">Mediante realización de investigaciones fortalecer la identidad nacional del la  Zona Oriental </t>
  </si>
  <si>
    <t xml:space="preserve">Visitas observativas/educativas con estudiantes a la 
penitenciaria de Danlì El Paraiso. A fin de conocer la incidencia de delitos. 
</t>
  </si>
  <si>
    <t>3.7.3.LE</t>
  </si>
  <si>
    <t>Visitas Realizadas</t>
  </si>
  <si>
    <t>Con esta actividad se potenciaràn los mecanismos de coordinaciòn e integracion de acciones de la comunidad universitaria con las organizaciones de la sociedad civil, en la lucha contra la violencia y el acceso a la informacion y la responsabilidad social solidaria de las intervenciones que se ejecutan desde la UNAH.</t>
  </si>
  <si>
    <t>Centro penal de Danli</t>
  </si>
  <si>
    <t>Coordinador Regional Lo Esencial</t>
  </si>
  <si>
    <t>Constancia de Visitas realizadas</t>
  </si>
  <si>
    <t>Gestionar con la Vice Rectoria Academica  una capacitaciòn sobre las normas acadèmicas de la UNAH</t>
  </si>
  <si>
    <t>Esta capacitacion permitirà aplicar la normativa en su dimenciòn acadèmica para obtener efectividad, eficiencia y eficacia en el cumplmiento de los procesos, su seguimiento  que permitan el logro de los objetivos institucionales.</t>
  </si>
  <si>
    <t>Capacitaciones aprobada y realizadas</t>
  </si>
  <si>
    <t>Docentes de UNAH-TEC</t>
  </si>
  <si>
    <t xml:space="preserve">Coordinador Regional  de Docencia </t>
  </si>
  <si>
    <t xml:space="preserve">Peticion de la capacitación a la Vice Rectoria  Academica </t>
  </si>
  <si>
    <t>Docentes capacitados en las normas academicas</t>
  </si>
  <si>
    <t>4.1.1.D</t>
  </si>
  <si>
    <t>Gestionar con el ISPD un diplomado en Diseño Curricular</t>
  </si>
  <si>
    <t>1.1.1.D</t>
  </si>
  <si>
    <t>El diplomado; permitirà la participar en la estructuración curricular y Modelación del Currículum de las carreras ofertantes. Así mismo lograr la eficacia y eficiencia de la puesta en práctica del desarrollo y evaluación curricular.</t>
  </si>
  <si>
    <t xml:space="preserve">Coordinación Regional de Docencia </t>
  </si>
  <si>
    <t xml:space="preserve">Listado de participantes </t>
  </si>
  <si>
    <t xml:space="preserve">Docentes Capacitados </t>
  </si>
  <si>
    <t>El personal docente de UNAH-TEC se capacita sobre el tema de Diseño Curricular.</t>
  </si>
  <si>
    <t>Gestionar con el IPSD una capacitaciòn sobre el modelo educativo de la UNAH</t>
  </si>
  <si>
    <t>Conocimiento por parte de todos los docentes de la UNAH-TEC-DANLÍ de los fundamentos y principios conceptuales y metodológicos del nuevo modelo educativo.</t>
  </si>
  <si>
    <t>4.1.2.D</t>
  </si>
  <si>
    <t>El 100% de los docentes necesitan conocer del modelo educativo de la UNAH para obtener efectividad, eficiencia y eficacia en el cumplmiento de las dimenciones del proceso educativo, tomando en cuenta el relevo docente.</t>
  </si>
  <si>
    <t>Listado de participantes, nota de patición de la capacitación</t>
  </si>
  <si>
    <t xml:space="preserve">Construcción de un aula </t>
  </si>
  <si>
    <t xml:space="preserve">N° de equipo proveidos </t>
  </si>
  <si>
    <t xml:space="preserve">Gestionar equipo ( 1 Computadora, 1 impresora y 1archivo) para desarrollo de actividades en la coordinaciòn acadèmica. </t>
  </si>
  <si>
    <t>Para una mayor efectividad en el ejercicio de las funciones en la coordinacion de Docencia; es indispensable contar con  el equipo necesario para el desarrollo de las diferentes actividades.</t>
  </si>
  <si>
    <t>RECTORIA, SEDI, SEAF, DOCENCIA, DIRECCION Y ADMINISTRACION UNAH-TEC, DEPTO DE COMPRAS.</t>
  </si>
  <si>
    <t>11.4.3.D</t>
  </si>
  <si>
    <t>Gestionar la Contratación de Profesor por hora en el área de Matemática (1) y biología (1)</t>
  </si>
  <si>
    <t>Necesidad de satisfacer la demanda estudiantil de las carreras de agroindustria y enfermería</t>
  </si>
  <si>
    <t>Departamento de Ciencias</t>
  </si>
  <si>
    <t>REACTIVOS QUIMICA</t>
  </si>
  <si>
    <t>Licuadora de 8 velocidades.</t>
  </si>
  <si>
    <t>Batidora capacidad 7.6 litros,</t>
  </si>
  <si>
    <t>Montaje de destilación completo</t>
  </si>
  <si>
    <t>BALANZA GRANATARIA 610 GR JUNTO CON UN PESAS EXTRA DE 100,200,500 GR.</t>
  </si>
  <si>
    <t>BALANZA ELECTRONICA 5KG MÁXIMA CARGA</t>
  </si>
  <si>
    <t>ANILLO DE ALAMBRÓN 10CM DE DIÁMETRO ASEGURADOR EN MONTAJES.</t>
  </si>
  <si>
    <t>AMPERIMETRO ELECTRICO AMPERIMETRO 3 AMPERES MAXIMA CAPACIDAD.</t>
  </si>
  <si>
    <t>ASEGURADOR CON GANCHO ASEGURADOR EN MONTAJES DE EXPERIMENTOS EN SOPORTE UNIVERSAL.</t>
  </si>
  <si>
    <t>ASEGURADOR CON POLEA METÁLICA, ASEGURADOR EN MONTAJES DE EXPERIMENTOS EN SOPORTE UNIVERSAL EN MOVIMIENTOS CON POLEAS.</t>
  </si>
  <si>
    <t>ASEGURADOR DOBLE ASEGURADOR EN MONTAJES DE EXPERIMENTOS EN SOPORTE UNIVERSAL.</t>
  </si>
  <si>
    <t>BALANZA ARITMÉTICA CON REGLA GRADUADA (100 CM)</t>
  </si>
  <si>
    <t>CARRO DE SERVICIO PARA LABORATORIO. CARRO PARA MOVILIZACIÓN DEL EQUIPO DE LABORATORIO HACIA CADA PUNTO DE MONTAJE DE PRÁCTICA, ALMACENAJE DE MANERA SEGURA.</t>
  </si>
  <si>
    <t>CAUTIN TIPO LAPIZ. CAUTIN PARA SOLDADURAS DE METALES Y FUNDICION DE LAS MISMAS.</t>
  </si>
  <si>
    <t>CONEXIÓN BANANA-BANANA 30 CM EN CIRCUITOS DE CORRIENTE DIRECTA PARA MONTAJE DE CIRCUITOS ELÉCTRICOS. JUEGO DE 10 UNIDADES</t>
  </si>
  <si>
    <t>CALIBRADOR VERNIER (PIE DE REY) CON MINIMA MEDIDA DE 5 MM</t>
  </si>
  <si>
    <t xml:space="preserve"> CONJUNTO DE MECÁNICA.CONJUNTO /SET DE HERRAMIENTAS, TORNILLOS, CLAVOS, CINTA ADHESIVA, NIVELES, CUCHILLO.ETC.</t>
  </si>
  <si>
    <t>CRONOMETRO DIGITAL PARA MEDICIONES DE TIEMPO DE CUERPOS.</t>
  </si>
  <si>
    <t>ESFERAS DE PLÁSTICO. DE 5,10,20,50,100MM DE DIÁMETRO</t>
  </si>
  <si>
    <t>ESFERAS DE HULE. DE 5,10,20,50,100MM DE DIÁMETRO</t>
  </si>
  <si>
    <t>ESFERAS DE COBRE. DE 5,10,20,50,100MM DE DIÁMETRO</t>
  </si>
  <si>
    <t>ESFERAS DE HIERRO. DE 5,10,20,50,100MM DE DIÁMETRO</t>
  </si>
  <si>
    <t>ESFERAS DE  ALUMINIO. DE 5,10,20,50,100MM DE DIÁMETRO</t>
  </si>
  <si>
    <t>JUEGO DE DIFERENTES METALES EN FORMA DE CILINDRO. CILINDROS DE COBRE, ALUMINIO, LATON, HIERRO, BRONCE PARA MEDICIONES EXPERIMENTALES.</t>
  </si>
  <si>
    <t>MULTIMETRO DIGITAL MULTIMETRO QUE MIDE EL VOLTAJE EN UN CIRCUITO ELÉCTRICO.</t>
  </si>
  <si>
    <t>PRENSA METÁLICA PARA BORDE DE MESA. PRENSA METÁLICA DE HIERRO PARA SOPORTE DE MONTAJES DE LABORATORIO SOBRE SOPORTES UNIVERSAL.</t>
  </si>
  <si>
    <t>REGLA DE MADERA DE 1MTS REGLA DE MADERA GRADUADA PARA MEDICIONES DE OBJETOS Y MOVIMIENTOS DE ESTOS.</t>
  </si>
  <si>
    <t>PESAS RANURADAS CON PORTAPEZAS. PESAS DE 1,2,5,10,20,50,100 GR RANURADAS CON PORTAPEZAS</t>
  </si>
  <si>
    <t>RESORTES HELICOIDALES PARA DETERMINAR LA CONSTANTE K POR LA LEY DE HOOKE.</t>
  </si>
  <si>
    <t>PESAS CON GANCHOS DE 5,10,20,50,100 GR.</t>
  </si>
  <si>
    <t>TERMÓMETRO DE MERCURIO DE -10 GRADOS HASTA 260 GRADOS CELSIUS. PARA MEDIR LA TEMPERATURA DE CUERPOS Y GASES.</t>
  </si>
  <si>
    <t>TERMÓMETRO DE MERCURIO(-10/260 Co)</t>
  </si>
  <si>
    <t>TUBO DE HULE LATEX PARA TRANSPORTAR GASES DE UN PUNTO A OTRO.</t>
  </si>
  <si>
    <t xml:space="preserve"> SOPORTE UNIVERSAL CON VARILLA DE 60 CM, SOPORTE UNIVERSAL PARA MONTAJES DE LABORATORIO Y CALENTAMIENTO DE CUERPOS.</t>
  </si>
  <si>
    <t>PLANO INCLINADO CON TRANSPORTADOR METÁLICO Y BLOQUE CON CARAS DE DIFERENTES MATERIALES(ACRÍLICO, MADERA, ZINC, ASBESTO)  JUNTO CON BLOQUES.</t>
  </si>
  <si>
    <t>TRIPIE DESMONTABLE TRIPIE(TRIPODE) PARA SOPORTE DE MONTAJE Y CALENTAMIENTO DE OBJETOS.</t>
  </si>
  <si>
    <t>BARRA DE ALUMINIO DE 70 CM DE LARGO. DILATACIÓN LINEAL DE METALES EN DILATÓMETRO.</t>
  </si>
  <si>
    <t>BARRA DE HIERRO DE 70 CM DE LARGO. DILATACIÓN LINEAL DE METALES EN DILATÓMETRO.</t>
  </si>
  <si>
    <t>BARRA DE COBRE DE 70 CM DE LARGO. DILATACIÓN LINEAL DE METALES EN DILATÓMETRO.</t>
  </si>
  <si>
    <t>PINZA DE 3 DEDOS, PARA RETIRAR ELEMENTOS A ALTAS TEMPERATURAS Y MANEJO DE ELEMENTOS PELIGROSOS.</t>
  </si>
  <si>
    <t>NIVEL DE INCLINACIÓN DE BURBUJA, DE PLÁSTICO, A PRUEBA DE GOLPES, PARA MEDICIONES DE EMPLAZAMIENTO HORIZONTAL,</t>
  </si>
  <si>
    <t>MESA DE FUERZAS.</t>
  </si>
  <si>
    <t>PROBETA GRADUADA DE 100 ML DE VOLUMEN MAXIMO.</t>
  </si>
  <si>
    <t>JUEGO DE SIETE CUBOS DE DIFERENTES MATERIALES,</t>
  </si>
  <si>
    <t>CALDERA CON ESTUFA ELECTRICA.</t>
  </si>
  <si>
    <t>DILATÓMETRO. APARATO PARA LA MEDICIÓN DE LA DILATACIÓN LINEAL DE MATERIALES SÓLIDOS EN DEPENDENCIA CON LA LONGITUD DEL MATERIAL.</t>
  </si>
  <si>
    <t xml:space="preserve">EQUIPO ADECUADO PARA LA DEMOSTRACIÓN DE LA LEY BOYLE-MARIOTTE. COMPUESTO DE UN TUBO GRUESO DE VIDRIO, CON ESCALA GRADUADA, MONTADO SOBRE UNA PLACA METÁLICA BLANCA. POR MOTIVOS DE SEGURIDAD, EL TUBO DE VIDRIO SE ENCUENTRA PROTEGIDO DENTRO DE UNA CUBIERTA ADICIONAL DE PLÁSTICO. </t>
  </si>
  <si>
    <t>BEAKER. MATERIAL DE TRANSPORTE Y MEDICIÓN DE LÍQUIDOS (400 ML)</t>
  </si>
  <si>
    <t xml:space="preserve">CAMPANA DE AISLAMIENTO O FLUJO LAMINAR  O CAMPANA BACTERIOLOGICA </t>
  </si>
  <si>
    <t xml:space="preserve">LICUADORA CON VASO AUTOCABABLE PARA MICROBIOLOGIA DE ALIMENTOS </t>
  </si>
  <si>
    <t xml:space="preserve">REACTIVOS MICROBIOLOGIA </t>
  </si>
  <si>
    <t xml:space="preserve">Gestión de equipamiento del departamento de Quimica, Ciencias </t>
  </si>
  <si>
    <t>11.4.4.DCDQ</t>
  </si>
  <si>
    <t xml:space="preserve">Fortalecer al Departamento de Quimica, Ciencias con la adquisición de mobiliario y equipo necesario para el mejoramiento del proceso enseñanza aprendizaje. </t>
  </si>
  <si>
    <t>RECTORIA, SEDI, SEAF, QUIMICA Y CIENCIAS, DIRECCION Y ADMINISTRACION UNAH-TEC, DEPTO DE COMPRAS.</t>
  </si>
  <si>
    <t>11.5.2.DC</t>
  </si>
  <si>
    <t>11.4.5.DC</t>
  </si>
  <si>
    <t>Mantenimiento del vivero de plantas medicinales</t>
  </si>
  <si>
    <t>Promueve el desarrollo de escenariosdidacticos que rescatan la aplicaciones de la medicina tradicional</t>
  </si>
  <si>
    <t xml:space="preserve">VIVERO </t>
  </si>
  <si>
    <t xml:space="preserve">CIENCIAS </t>
  </si>
  <si>
    <t xml:space="preserve">AZADON CON PALO </t>
  </si>
  <si>
    <t xml:space="preserve">ESCOBILLA </t>
  </si>
  <si>
    <t xml:space="preserve">PALA </t>
  </si>
  <si>
    <t>CHANCH</t>
  </si>
  <si>
    <t xml:space="preserve">MANGUERA 6 PIES </t>
  </si>
  <si>
    <t xml:space="preserve">ABONO ORGANICO </t>
  </si>
  <si>
    <t>Gestiones para la elaboración de sueros antiofídicos</t>
  </si>
  <si>
    <t>11.4.7.DC</t>
  </si>
  <si>
    <t>Desarrollar actividades Complementarias que permitan consolidar el centro mediante investigación científica de calidad</t>
  </si>
  <si>
    <t xml:space="preserve">Departamento de Ciencias Escuela de Biologia </t>
  </si>
  <si>
    <t xml:space="preserve">Gestiones aprobadas </t>
  </si>
  <si>
    <t>Seguimiento al proyecto de investigación sobre la calidad microbiológica de agua en la comunidad de San Marcos Arriba, Danlí, El Paraíso, ubicada a unos 3 kilómetros de nuestro centro regional</t>
  </si>
  <si>
    <t>2.a.2.4.DC</t>
  </si>
  <si>
    <t>La falta de estudios sobre estos temas y la importancia que los mismos tienen para la comunidad, justifican su implementacion</t>
  </si>
  <si>
    <t xml:space="preserve">Investigaciones </t>
  </si>
  <si>
    <t>Docentes Ciencias</t>
  </si>
  <si>
    <t xml:space="preserve">Departamento de Ciencias Sociales </t>
  </si>
  <si>
    <t>Participación con 4 ponenecias en el  congreso de investigación científica de la UNAH</t>
  </si>
  <si>
    <t>UNAH-TEC participa en congresos, encuentros, realizar publicaciones de investigaciones realizadas.</t>
  </si>
  <si>
    <t>Listado de docentes aceptados como conferencistas</t>
  </si>
  <si>
    <t>Docentes y estudiantes</t>
  </si>
  <si>
    <t>Difusión del conocimiento que se esta desarrollando en los proyectos de investigación que propone el Departamento de Ciencias</t>
  </si>
  <si>
    <t>2.b.4.1.DC</t>
  </si>
  <si>
    <t>2.a.2.5.DC</t>
  </si>
  <si>
    <t>Desarrollar investigaciones de alto impacto en problemas que atañen a la región sur oriental del país</t>
  </si>
  <si>
    <t xml:space="preserve">Docentes de Departamento de Ciencias </t>
  </si>
  <si>
    <t xml:space="preserve">Departamento de Ciencias y Coordinación Regional </t>
  </si>
  <si>
    <t>Postulación a proyecto de Investigación Base de Datos de Presiones Parciales</t>
  </si>
  <si>
    <t>Postulación a proyecto de Investigación "Software interactivo para el desarrollo de Competencias algebraicas"</t>
  </si>
  <si>
    <t>2.a.2.6.DC</t>
  </si>
  <si>
    <t>2.a.2.7.DC</t>
  </si>
  <si>
    <t>Desarrollar nuevo conocimiento n temática relacionadas con la carreraa de Ingeniería Agroindustrial</t>
  </si>
  <si>
    <t>Una de las competencias que las matemáticas exigen es la visualización. Pretendemos desarrollar una propuesta que involucre componentes didácticos, metodológicos y computacionales que coadyuven al desarrollo y comprensión de objetos matemáticos.</t>
  </si>
  <si>
    <t>2.b.7.1.DC</t>
  </si>
  <si>
    <t>UNAH-TEC participa en congresos o  encuentros internacionales</t>
  </si>
  <si>
    <t>Compartir y difundir conocimiento relacionado con la conservación del medio ambiente</t>
  </si>
  <si>
    <t>Docente aceptado en congreso intetrnacional</t>
  </si>
  <si>
    <t>UNAH-TEC</t>
  </si>
  <si>
    <t>Parcipacion en el  Congreso de la Sociedad Mesoaméricana para la Biología y Conservación</t>
  </si>
  <si>
    <t>Gestión para desarrollar un artículo científico realacionado con las emisiones por quema en el crematorio municipal de danlí</t>
  </si>
  <si>
    <t>Difundir el conocimiento y los resultados obtenidos en la propuesta de los temas de investigación planteados</t>
  </si>
  <si>
    <t>2.b.1.1.DC</t>
  </si>
  <si>
    <t>Redacción de un articulo científico de los resultados  del Sofware interactivo para el desarrollo de Competencias alguebr(de ser adjudicada la beca de investigación)</t>
  </si>
  <si>
    <t>2.b.1.2.DC</t>
  </si>
  <si>
    <t>Difusión del conocimiento y de los resultados obtenidos en la investigación propuesta con el Software</t>
  </si>
  <si>
    <t>Departamento de ciencias</t>
  </si>
  <si>
    <t xml:space="preserve">Aticulos publicados </t>
  </si>
  <si>
    <t>UNAH-TEC realiza publicaciones de investigaciones realizadas.</t>
  </si>
  <si>
    <t>Articulos publicados</t>
  </si>
  <si>
    <t>Brindar capacitación sobre  Manejo de Desechos Hospitalarios al personal del Hospital Regional de Danlí</t>
  </si>
  <si>
    <t xml:space="preserve">El personal adquiera conocimientos relativos al manejo adecuado de los desechos solidos hospitalarios </t>
  </si>
  <si>
    <t xml:space="preserve">Listado de participantes en  la capacitación </t>
  </si>
  <si>
    <t>Hospital Gabriela Alvadado</t>
  </si>
  <si>
    <t xml:space="preserve">Departamento de Ciencias </t>
  </si>
  <si>
    <t xml:space="preserve">Capacitaciones realizadas </t>
  </si>
  <si>
    <t>3.2.1.DC</t>
  </si>
  <si>
    <t>Brindar capacitaciones sobre calidad de agua y protección de la cuenca en la comunidad de San Marcos Arriba, Danlí, El Paraíso en fechas posteriores al desarrollo de nuestra investigación sobre este tema</t>
  </si>
  <si>
    <t>Una vez  que tengamos un diagnostico de la calidadd de agua, capacitaremos a la comunidad en los temas de calidad de agua</t>
  </si>
  <si>
    <t xml:space="preserve">Listado de los participantes en las capacitaciones </t>
  </si>
  <si>
    <t xml:space="preserve">Comunidad de San Marcos Arriba </t>
  </si>
  <si>
    <t>3.5.4.DC</t>
  </si>
  <si>
    <t xml:space="preserve">Elaboración de medicamentos a base de plantas medicinales para ser donados al asilo de ancianos </t>
  </si>
  <si>
    <t xml:space="preserve">Proyecto de Vinculación dirigido a reforzar competencias de matemáticas a estudiantes que postularán a la PAA </t>
  </si>
  <si>
    <t>3.5.5.DC</t>
  </si>
  <si>
    <t>3.5.6.DC</t>
  </si>
  <si>
    <t>Los medicamentos preparados con los alumnos serán donados al ascilo de ancianos</t>
  </si>
  <si>
    <t>Desarrollar competencias matemáticas en futuros estudiantes que ingresarpan a UNAHTEC Danlí</t>
  </si>
  <si>
    <t>Asilo de Ancianos Sab Judas Tadeo</t>
  </si>
  <si>
    <t>Aspitantes a Realizar la PAA</t>
  </si>
  <si>
    <t xml:space="preserve">Fotografias, listado de medicamentos entregados </t>
  </si>
  <si>
    <t xml:space="preserve">Listado de aspitantes capacitados </t>
  </si>
  <si>
    <t xml:space="preserve">Gestionar el espacio físico para aula audiovisual del Depto de Ciencias Economicas </t>
  </si>
  <si>
    <t>11.2.2.DCE</t>
  </si>
  <si>
    <t xml:space="preserve"> El aula audio visual servirá para la apertura de nueva oferta academica  y será acondicionada para utilizarla como aula de maestría.</t>
  </si>
  <si>
    <t xml:space="preserve">Notas, acuerdos </t>
  </si>
  <si>
    <t>Consejo Universitario, SEAPI, Depto. de Ciencias Economicas; Dirección UNAH-TEC</t>
  </si>
  <si>
    <t xml:space="preserve">CIMENTACION Y ESTRUCTURAS </t>
  </si>
  <si>
    <t xml:space="preserve">PAREDES </t>
  </si>
  <si>
    <t xml:space="preserve">ACABADOS </t>
  </si>
  <si>
    <t>CUBIERTA Y CIELO FALSO</t>
  </si>
  <si>
    <t xml:space="preserve">PISOS </t>
  </si>
  <si>
    <t xml:space="preserve">INSTALACIONES ELECTRICAS </t>
  </si>
  <si>
    <t>INSTALACIONES HIDROSANITARIAS</t>
  </si>
  <si>
    <t xml:space="preserve">PUERTAS Y VENTANAS </t>
  </si>
  <si>
    <t xml:space="preserve">PINTURA </t>
  </si>
  <si>
    <t>Fortalecer el departamento de ciencias economicas con la contratación 2 profesores por hora.</t>
  </si>
  <si>
    <t>11.5.3.DCE</t>
  </si>
  <si>
    <t xml:space="preserve">Departamento de Ciencias Economicas </t>
  </si>
  <si>
    <t>Gestión de equipamiento para el espacio físico de Ciencias Económicas y el aula audiovisual</t>
  </si>
  <si>
    <t>11.4.8.DCE</t>
  </si>
  <si>
    <t>Esto facilitará los procesos de enseñanza para los alumnos, y al mismo tiempo nos estamos adaptando a las nuevas herramientas tecnológicas utilizadas en el ambito profesional.</t>
  </si>
  <si>
    <t>EQUIPO COMPRADO</t>
  </si>
  <si>
    <t xml:space="preserve">Consejo universitario rectoría    finanzas          directora  UNAH TEC         Administración  enfermería </t>
  </si>
  <si>
    <t>Dotación material de estudio (textos) Economo-Administrativo para la biblioteca</t>
  </si>
  <si>
    <t>11.4.9.DCE</t>
  </si>
  <si>
    <t>La mayoría de los estudiantes no cuentan con los recursos económicas para adquirir los textos utilizados en las clases y la biblioteca no tiene los sufcientes libros para satisfacer la demanda estudiantil</t>
  </si>
  <si>
    <t>LIBROS COMPRADOS</t>
  </si>
  <si>
    <t>ESTUDIANTES DE UNAH-TEC</t>
  </si>
  <si>
    <t>Departamento de Ciencias Economicas, DIRECCION Y ADMINISTRACION UNAH-TEC, DEPTO DE COMPRAS.</t>
  </si>
  <si>
    <t>PRINCIPIOS DE MACROECONOMIA</t>
  </si>
  <si>
    <t>MACROECONOMIA</t>
  </si>
  <si>
    <t xml:space="preserve"> MICROECONOMIA ( VERSION PARA LATINOAMERICA)</t>
  </si>
  <si>
    <t>MICROECONOMIA</t>
  </si>
  <si>
    <t>PRINCIPIOS DE ECONOMIA</t>
  </si>
  <si>
    <t>PRINCIPIOS DE ADMINISTRACION FINANCIERAS</t>
  </si>
  <si>
    <t>CONTABILIDAD</t>
  </si>
  <si>
    <t>CONTABILIDAD LA BASE PARA LAS DECISIONES</t>
  </si>
  <si>
    <t>MATEMATICAS APLICADAS A LA ADMINISTRACION Y A LA ECONOMIA</t>
  </si>
  <si>
    <t xml:space="preserve">PRECALCULO </t>
  </si>
  <si>
    <t xml:space="preserve">ADMINISTRACION </t>
  </si>
  <si>
    <t>CONTABILIDAD DE COSTOS</t>
  </si>
  <si>
    <t>CONTABILIDAD ADMINISTRATIVA</t>
  </si>
  <si>
    <t>ESTADISTICA PARA ADMINISTRACION Y ECONOMIA</t>
  </si>
  <si>
    <t xml:space="preserve">CONTABILIDAD </t>
  </si>
  <si>
    <t>MATEMATICAS FINANCIERAS</t>
  </si>
  <si>
    <t>PRINCIPIOS DE ADMINISTRACION FINANCIERA</t>
  </si>
  <si>
    <t>Fotografías, Videos, Listas de Asistencia.</t>
  </si>
  <si>
    <t>Estudiantes  de ultimo año de la escuela Agrotécnica de Oriente Dr.Reinaldo Salina formados en el municipio de San Matias.</t>
  </si>
  <si>
    <t>Docentes y alumnos del Departameno de Ciencias Económicas</t>
  </si>
  <si>
    <t>Brindar Capacitaciones a los alumnos de último año de la Escuela Taller de la Municipalidad de Danlí,  en las areas  que se detallan a continuacion: .1. Capacitació en 5S y calidad total, 2. Motivación Empresarial                                         3.  Costos  de producción            4. Administración básica y Mercadotecnia          5 Regístros de contabilidad                              . 6.Economía y finanzas     7 Rural Pro.</t>
  </si>
  <si>
    <t xml:space="preserve">Los estudiantes de la esculea taller serán fortalecidos en sus conocimientos para mejorar su desempeño profesional. </t>
  </si>
  <si>
    <t>3.5.7.DCE</t>
  </si>
  <si>
    <t xml:space="preserve">Nueva oferta academica aprobada </t>
  </si>
  <si>
    <t xml:space="preserve">Gestionar la apertura de una maestria en el area de Ciencias Economicas </t>
  </si>
  <si>
    <t>1.1.2.DCE</t>
  </si>
  <si>
    <t>Incremento de la oferta academica en UNAH-TEC</t>
  </si>
  <si>
    <t>Documento enviado a aprobación</t>
  </si>
  <si>
    <t xml:space="preserve">Zona Oriental </t>
  </si>
  <si>
    <t>Incrementar la oferta académica post grado en UNAH-TEC-DANLÍ</t>
  </si>
  <si>
    <t xml:space="preserve">Gestionar para el personal docente capacitación del proyecto aprender </t>
  </si>
  <si>
    <t>4.1.3.CL</t>
  </si>
  <si>
    <t>Mejorar la calidad de la enseñanza del personal docente de UNAH-TEC</t>
  </si>
  <si>
    <t xml:space="preserve">Consejo Local </t>
  </si>
  <si>
    <t xml:space="preserve">Gestionar capacitación para los miembros del consejo local referente a Procesos de Concurso y funciones que le competen al Consejo. </t>
  </si>
  <si>
    <t>4.1.4.CL</t>
  </si>
  <si>
    <t xml:space="preserve">El consejo local adquiera los conocimientos y manejo de leyes para el optimo desempeño de sus funciones </t>
  </si>
  <si>
    <t>Miembros del Consejo Local y Jefes de Departamento</t>
  </si>
  <si>
    <t>Gestionar la adquisición de impresora, archivo (1).</t>
  </si>
  <si>
    <t xml:space="preserve">Mejorar el desempeño del Consejo Local </t>
  </si>
  <si>
    <t>11.4.10.CL</t>
  </si>
  <si>
    <t xml:space="preserve">Gestionar capacitación con personal de la DIE en el area de las TIC's digiguido al personal Docente </t>
  </si>
  <si>
    <t>Personal docente capacitados en el uso de las TICS</t>
  </si>
  <si>
    <t xml:space="preserve">Docentes capacitados </t>
  </si>
  <si>
    <t>17.1.1.CL</t>
  </si>
  <si>
    <t xml:space="preserve">Implementar la modalidad B-learning ampliando los conocimientos en el area profesional de los docentes de acuerdo a las necesidades actuales del uso de  la tecnologia  </t>
  </si>
  <si>
    <t>listado de participantes</t>
  </si>
  <si>
    <t>Realizar proyectos de vinculación de las asignaturas de Ciencias Medicas sobre proyectos educativos y atención directa de pacientes.</t>
  </si>
  <si>
    <t>3.5.8.DCM</t>
  </si>
  <si>
    <t>Como parte de actividades de vinculación se realizara una por trimestre de acuerdo a necesidades de la población o temas de clases</t>
  </si>
  <si>
    <t xml:space="preserve">Proyectos realizados, fotografias </t>
  </si>
  <si>
    <t>Departamento de ciencias Medicas</t>
  </si>
  <si>
    <t>Coordinar con patronatos o con vecinos de barrios o colonias donde viven los estudiantes de Epidemiologia I para que realicen actividades de vinculación y educación de acuerdo a enfermedades emergentes o reemergentes</t>
  </si>
  <si>
    <t>3.5.9.DCM</t>
  </si>
  <si>
    <t xml:space="preserve">Postular a una beca de investigación por la DICYP </t>
  </si>
  <si>
    <t>2.a.2.8.DCM</t>
  </si>
  <si>
    <t>Participar en proyectos de investigación</t>
  </si>
  <si>
    <t xml:space="preserve">Docentes de Departamento de Ciencias Medicas </t>
  </si>
  <si>
    <t xml:space="preserve">Departamento de Ciencias Medicas y Coordinación Regional </t>
  </si>
  <si>
    <t xml:space="preserve">Los estudiantes de  clase de epidemiologia  realicen estudios en las siguientes líneas de investigación: enfermedades crónicas degenerativas, seguridad alimentaria y la adolescencia, promoción de la salud y prevención de la enfermerdad. </t>
  </si>
  <si>
    <t xml:space="preserve">Dar respuesta a la población de la Zona Oriental  en la generacion de conocimientos </t>
  </si>
  <si>
    <t>Investigaciones realizadas</t>
  </si>
  <si>
    <t xml:space="preserve">Departamento de Ciencias Medicas </t>
  </si>
  <si>
    <t>2.a.2.9.DCM</t>
  </si>
  <si>
    <t xml:space="preserve">Realizar trabajos de investigación en clase de epidemiologia II, logrando tener un banco de investigaciones y socializarlas con la institución beneficiaria, manteniendo un seguimiento de la investigación  </t>
  </si>
  <si>
    <t>2.a.2.10.DCM</t>
  </si>
  <si>
    <t>Socialización de investigaciones con instituciones beneficiadas y darle seguimiento.</t>
  </si>
  <si>
    <t xml:space="preserve"> Gestionar Capacitaciones a los docentes en el manejo de tecnologia y de programas estadisticos  (EPI INFO, SSPS)</t>
  </si>
  <si>
    <t>4.1.5DCM</t>
  </si>
  <si>
    <t>Listado de participantes</t>
  </si>
  <si>
    <t>Docentes de Ciencias Medicas</t>
  </si>
  <si>
    <t>Departamento de Ciencias Medicas</t>
  </si>
  <si>
    <t>El personal docente adquiera conocimientos sobre programas estadisticos</t>
  </si>
  <si>
    <t>11.4.11.DCM</t>
  </si>
  <si>
    <t xml:space="preserve">Placas fijas </t>
  </si>
  <si>
    <t xml:space="preserve">Realizar 6 proyectos de desarrollo comunitario( 3 por periodo) enfocados en la promocion ,prevencion y autocuidado del individuo ,familia y comunidad.  </t>
  </si>
  <si>
    <t>3.5.10.CE</t>
  </si>
  <si>
    <t xml:space="preserve">esta actividad permitira crear instrumentos para la sensibilizacion de la oferta academica, como producto del proyecto de  sostenibilidad y pertinencia del centro regional del oriente </t>
  </si>
  <si>
    <t xml:space="preserve">Carrera de Enfermeria </t>
  </si>
  <si>
    <t>Participar en el concurso para acceder a becas de investigación de la DICYP,mediante las investigaciones realizadas .</t>
  </si>
  <si>
    <t>2.a.2.11.CE</t>
  </si>
  <si>
    <t>2.a.2.12.CE</t>
  </si>
  <si>
    <t xml:space="preserve">Docentes de Enfermeria </t>
  </si>
  <si>
    <t xml:space="preserve">Carrera de enfermeria </t>
  </si>
  <si>
    <t>2.b.6.1.CE</t>
  </si>
  <si>
    <t>Ejecutar una jornada cientifica considerando las investigaciones realizadas por los estudiantes y docentes de la carrera de enfermeria.</t>
  </si>
  <si>
    <t xml:space="preserve">Listado de participantes en la jornada </t>
  </si>
  <si>
    <t xml:space="preserve">Estudiantes y Docentes de Enfermeria </t>
  </si>
  <si>
    <t>11.4.12.CE</t>
  </si>
  <si>
    <t xml:space="preserve">Fortalecer la Carrera de Enfermeria con la adquisición de mobiliario necesario para el mejoramiento del proceso enseñanza aprendizaje. </t>
  </si>
  <si>
    <t>RECTORIA, SEDI, SEAF, ENFERMERIA, DIRECCION Y ADMINISTRACION UNAH-TEC, DEPTO DE COMPRAS.</t>
  </si>
  <si>
    <t xml:space="preserve">Gestionar  en la carrera de enfermeria equipamiento de laboratorio </t>
  </si>
  <si>
    <t>Cama Ginecológica</t>
  </si>
  <si>
    <t>Cama de Transportar Pacientes</t>
  </si>
  <si>
    <t>Grada de 2 pasos</t>
  </si>
  <si>
    <t>Cama de Exámenes</t>
  </si>
  <si>
    <t xml:space="preserve">Mesa Mayo de acero inoxidable </t>
  </si>
  <si>
    <t xml:space="preserve">Cuna con bacinete con colchón </t>
  </si>
  <si>
    <t xml:space="preserve">Banquillo acojinado de elevación estructura de acero inoxidable. </t>
  </si>
  <si>
    <t>Modelo de prácticas de enfermería al niño lactante .</t>
  </si>
  <si>
    <t xml:space="preserve">Esqueleto humano maniquí esqueleto a tamaño real, </t>
  </si>
  <si>
    <t>Balanza lactante y recién nacido . Con base de soporte , base de acero inoxidable , para pesar niños.</t>
  </si>
  <si>
    <t>Balanza de adulto . Con base de soporte , base de acero inoxidable , para pesar  niños mayores y adultos.</t>
  </si>
  <si>
    <t>Modelo de prácticas de enfermería de adulto .</t>
  </si>
  <si>
    <t xml:space="preserve">Set de maniquí simulador de partos. con accesorio adicional: un estractor de cabeza fetal </t>
  </si>
  <si>
    <t xml:space="preserve">Set de modelo de vulva para examen pélvico. </t>
  </si>
  <si>
    <t xml:space="preserve"> Modelo de vulva para la asistencia  de parto. (Primípara) </t>
  </si>
  <si>
    <t xml:space="preserve"> Modelo de vulva para la asistencia  de parto. (Multípara) </t>
  </si>
  <si>
    <t xml:space="preserve">Set de maniquí para el entrenamiento de maniobras de posición de Leopold. </t>
  </si>
  <si>
    <t xml:space="preserve">Maniquí  para práctica de masaje de mamas maternas. </t>
  </si>
  <si>
    <t>Modelo demostrativo de cepillado de dientes. Tamaño doble natural</t>
  </si>
  <si>
    <t>Doppler para latido cardiaco fetal .</t>
  </si>
  <si>
    <t xml:space="preserve">Estetoscopio Traude obstétrico. </t>
  </si>
  <si>
    <t>Estetoscopio para enseñanza.</t>
  </si>
  <si>
    <t>Maniquí simulador de juego de feto, placenta y pelvis.</t>
  </si>
  <si>
    <t>Modelo de loquios después del parto</t>
  </si>
  <si>
    <t>Balanzas digitales portátiles para practica comunitaria</t>
  </si>
  <si>
    <t>Basculas pediátricas de calzón.</t>
  </si>
  <si>
    <t>Monitor para nebulizaciones. Para simulación fija.</t>
  </si>
  <si>
    <t>Micro nebulizador adaptor en t, boquilla, mascarilla</t>
  </si>
  <si>
    <t>Demo dose simulated blood , O positive.</t>
  </si>
  <si>
    <t>Demo dose simulated blood , A  positive.</t>
  </si>
  <si>
    <t>Demo dose simulated blood , AB positive.</t>
  </si>
  <si>
    <t>Demo dose simulated blood , O negative.</t>
  </si>
  <si>
    <t>Demo dose simulated blood , A  negative.</t>
  </si>
  <si>
    <t>Demo dose simulated blood , B negative.  Demo dose simulated blood , AB negative.</t>
  </si>
  <si>
    <t>Simulated blood 1 gallon.</t>
  </si>
  <si>
    <t>Base Brazos kioto simulator intravenous arm   y Hand set.</t>
  </si>
  <si>
    <t xml:space="preserve">Estetoscopio </t>
  </si>
  <si>
    <t>Esfigmomanómetro</t>
  </si>
  <si>
    <t>11.4.13.CE</t>
  </si>
  <si>
    <t xml:space="preserve">Gestión de equipo audiovisual y equipo de oficina para la carrera de Enfermeria  </t>
  </si>
  <si>
    <t xml:space="preserve">Fortalecer la Carrera de Enfermeria con la adquisición de mobiliario y equipo necesario para el mejoramiento del proceso enseñanza aprendizaje. </t>
  </si>
  <si>
    <t xml:space="preserve">Loker </t>
  </si>
  <si>
    <t xml:space="preserve">Gestionar la Dotación material de estudio (textos) enlas areas de enfermeria para la biblioteca Alfredo León Gomez </t>
  </si>
  <si>
    <t>11.4.14.CE</t>
  </si>
  <si>
    <r>
      <t xml:space="preserve">Fundamentos de enfermería </t>
    </r>
    <r>
      <rPr>
        <sz val="11"/>
        <color theme="1"/>
        <rFont val="Arial"/>
        <family val="2"/>
      </rPr>
      <t>volumen I y II.</t>
    </r>
  </si>
  <si>
    <t>Matemáticas para enfermeras. Guía de bolsillo para cálculo de dosis y preparación de medicamentos, MANUAL MODERNO, 2013</t>
  </si>
  <si>
    <t xml:space="preserve">Electrocardiografía interpretación práctica del ECK . Especialidad: medicina familiar y atención primaria de la salud
</t>
  </si>
  <si>
    <t>Técnicas básicas de enfermería.</t>
  </si>
  <si>
    <t>Administración de los servicios de enfermería.</t>
  </si>
  <si>
    <t>Metodología de la investigación</t>
  </si>
  <si>
    <t>Ginecologia de NOVAC</t>
  </si>
  <si>
    <t xml:space="preserve">Codigo de la Familia </t>
  </si>
  <si>
    <t xml:space="preserve">Ley de proteccion a la mujer </t>
  </si>
  <si>
    <t xml:space="preserve">ley de igualdad de oportunidades </t>
  </si>
  <si>
    <t xml:space="preserve">Codigo de la Niñez </t>
  </si>
  <si>
    <t xml:space="preserve">Ley de Sevicio Civil </t>
  </si>
  <si>
    <t xml:space="preserve">Codigo de Trabajo </t>
  </si>
  <si>
    <t>Derechos Humanos</t>
  </si>
  <si>
    <t xml:space="preserve">Constitución de la Republica </t>
  </si>
  <si>
    <t>Manual de puestos y salarios de la secretaria de Salud</t>
  </si>
  <si>
    <t xml:space="preserve">Ley del instituto nacional de la mujer </t>
  </si>
  <si>
    <t xml:space="preserve"> ENFERMERIA, DIRECCION Y ADMINISTRACION UNAH-TEC, DEPTO DE COMPRAS.</t>
  </si>
  <si>
    <t>Realizar 2  investigaciones sobre enfermedades emergentes y reemergentes,infecciones de tranmision sexual,causas que influyen en la presentacion de cancer en poblacion .</t>
  </si>
  <si>
    <t>Proveer de nuevo conocimiento a la sociedad en general sobre prioridades que den solucion a la problemática de salud</t>
  </si>
  <si>
    <t xml:space="preserve">Divulgar los resultados de investigación realizados por la carrera a la comunidad Universitaria </t>
  </si>
  <si>
    <t>11.5.4.CE</t>
  </si>
  <si>
    <t xml:space="preserve">Gestionar contratación 2 profesores por hora para cubrir la demanda estudiantil de la Carrera de Enfermeria </t>
  </si>
  <si>
    <t>1.2.3.CE</t>
  </si>
  <si>
    <t xml:space="preserve">CURRICULOS ACTUALIZADOS </t>
  </si>
  <si>
    <t xml:space="preserve">Continuar  con el proceso de rediseño curricular de la Carrera de Enfermeria con la Escuela de enfermeria y los Centros regionales que tienen  la carrera  de enfermeria.    4  encuentros  pudiera ser en san pedro sula ,ceiba o tegucigalpa ,sobre avances en el proceso curricular, con autoridades y comisiones representantes de  los diferentes centros regionales. </t>
  </si>
  <si>
    <t>Residseño del plan de estudios de la carrera de enfermeria.</t>
  </si>
  <si>
    <t>PLAN DE ESTUDIOS ACTUALIZADO</t>
  </si>
  <si>
    <t xml:space="preserve">ESTUDIANTES DE ENFERMERIA </t>
  </si>
  <si>
    <t xml:space="preserve">ENFERMERIA </t>
  </si>
  <si>
    <t xml:space="preserve">eficiencia de los estudiantes en servicio social y ejercicio profesional </t>
  </si>
  <si>
    <t xml:space="preserve">Supervisiones Realizadas </t>
  </si>
  <si>
    <t>4.1.6.CE</t>
  </si>
  <si>
    <r>
      <t xml:space="preserve">Supervision de estudiantes en: </t>
    </r>
    <r>
      <rPr>
        <u/>
        <sz val="12"/>
        <color rgb="FF000000"/>
        <rFont val="Arial Narrow"/>
        <family val="2"/>
      </rPr>
      <t>Ejercicio Profesional</t>
    </r>
    <r>
      <rPr>
        <sz val="12"/>
        <color rgb="FF000000"/>
        <rFont val="Arial Narrow"/>
        <family val="2"/>
      </rPr>
      <t xml:space="preserve">( 2 en el año) :El Paraiso( AGI), Ciudad de Danli.                     </t>
    </r>
    <r>
      <rPr>
        <u/>
        <sz val="12"/>
        <color rgb="FF000000"/>
        <rFont val="Arial Narrow"/>
        <family val="2"/>
      </rPr>
      <t>Servicio Social</t>
    </r>
    <r>
      <rPr>
        <sz val="12"/>
        <color rgb="FF000000"/>
        <rFont val="Arial Narrow"/>
        <family val="2"/>
      </rPr>
      <t>( 2 en el año). En las siguientes comunidades:Alauca,Paraisito,Santa Maria,Palo Verde, Ojo de Agua, Jacaleapa, El Paraiso, Teupacenti, San Matias, El zapotillo, Jutiapa, San Diego, Quebrada Larga, Ciudad de Danli(Nueva Esperanza ,HRGA,Consulta Externa del Hospital Grabriela Alvarado(Hospital Viejo)) .</t>
    </r>
  </si>
  <si>
    <t>VELAR POR EL BUEN DESEMPEÑO D ELOS PRACTICANTES EN LOS CENTROS DE SALUD</t>
  </si>
  <si>
    <t xml:space="preserve">INFORME DE LAS VISITAS REALIZADAS </t>
  </si>
  <si>
    <t>ESTUDIANTES DE ENFERMERIA EN EJERCIO PROFESIONAL Y SERVICIO SOCIAL</t>
  </si>
  <si>
    <t xml:space="preserve">COMBUSTIBLE </t>
  </si>
  <si>
    <t xml:space="preserve">Desarrollo de competencias  clinicas en el Hospital Mario Mendoza ,Hospital Militar ( Cuidados intensivos),Hospital Escuela Universitario (Dialisis, Hemodialisis ) </t>
  </si>
  <si>
    <t>4.1.7.CE</t>
  </si>
  <si>
    <t>Estudiantes de la asignatura de Enfermeria Familiar III</t>
  </si>
  <si>
    <t xml:space="preserve">Que los estudiantes adquieran cocimientos en las areas de Psiquiatria, Emodialisis, Dialisis y Cuidados Intensivos </t>
  </si>
  <si>
    <t xml:space="preserve">Estudiantes de Enfermeria y Familiar III adquieran competencias clinicas </t>
  </si>
  <si>
    <t>Continuar  con el  proyecto de desarrollo de  estudiantes sobre arte y cultura ( grupo de Danzas,equipos de deportes,grupos de salud personal, equipos de baile, desarrollo de talentos humanos : dibujo,pintura,canto,instrumentos musicales,otros).</t>
  </si>
  <si>
    <t xml:space="preserve">Estudiante de la carrera de Enfermeria </t>
  </si>
  <si>
    <t xml:space="preserve">Carrera  de Enfermeria </t>
  </si>
  <si>
    <t xml:space="preserve">Encuentros realizados </t>
  </si>
  <si>
    <t xml:space="preserve">No de Encuentros </t>
  </si>
  <si>
    <t xml:space="preserve">UNAH-TEC realiza encuentos con los estudiantes para fomentar la cultura </t>
  </si>
  <si>
    <t xml:space="preserve">promover en los estudiantes de la carrera la parte cultural </t>
  </si>
  <si>
    <t xml:space="preserve">Número de programas computacionales desarrollados </t>
  </si>
  <si>
    <t>3 Proyectos de vinculación entrega de software a la sociedad de Danlí</t>
  </si>
  <si>
    <t xml:space="preserve">3.5.11.CIA </t>
  </si>
  <si>
    <t>En la clase se exige visitar una o varias empresas en las cuales se les hace un informe sobre la gestion del departamento de informatica</t>
  </si>
  <si>
    <t xml:space="preserve">Informe </t>
  </si>
  <si>
    <t xml:space="preserve">Una empresa de la zona oriental </t>
  </si>
  <si>
    <t xml:space="preserve">Carrera de Informatica Administrativa </t>
  </si>
  <si>
    <t xml:space="preserve">Capacitación a una empresa de la region oriental como proyecto de investigación y vinculación </t>
  </si>
  <si>
    <t>En la clase de seminario de investigaciónse exige realizar una investigacion en la cual se aplica una capacitacion o proyecto informatico a una empresa de la zona</t>
  </si>
  <si>
    <t>Capacitación brindada</t>
  </si>
  <si>
    <t xml:space="preserve">3.5.12.CIA </t>
  </si>
  <si>
    <t>Listado d elos participantes en la capacitación</t>
  </si>
  <si>
    <t>3 Investigaciones de estudiantes de la clase de seminario de investigación</t>
  </si>
  <si>
    <t>2.a.2.13.CIA</t>
  </si>
  <si>
    <t>Al finalizar la clase de seminario de investigación se realizan investigaciones  que se entregan a la biblioteca</t>
  </si>
  <si>
    <t xml:space="preserve">Estudiantes de Informatica Administrativa </t>
  </si>
  <si>
    <t>2.a.2.14.CIA</t>
  </si>
  <si>
    <t xml:space="preserve">Docentes Informatica </t>
  </si>
  <si>
    <t>Postulación con una beca de investigación en la DICYP</t>
  </si>
  <si>
    <t>2.a.2.15.CIA</t>
  </si>
  <si>
    <t xml:space="preserve">Jornada de intercambio de conocimiento de especialistas en el area de informatica </t>
  </si>
  <si>
    <t xml:space="preserve">Evento Realizado </t>
  </si>
  <si>
    <t>2.b.6.2.CIA</t>
  </si>
  <si>
    <t>Fortalecimiento en el área de la investigación y socializar trabajos de investigación</t>
  </si>
  <si>
    <t xml:space="preserve">Estudiantes de la carrera de informática e invitados </t>
  </si>
  <si>
    <t>Coordinacion, docentes y estudiantes de informática</t>
  </si>
  <si>
    <t xml:space="preserve">Docentes de Infotmatica Administrativa </t>
  </si>
  <si>
    <t xml:space="preserve">Docentes de Informatica Administrativa  y Coordinación Regional </t>
  </si>
  <si>
    <t xml:space="preserve">DIPLOMAS </t>
  </si>
  <si>
    <t xml:space="preserve">SONIDO </t>
  </si>
  <si>
    <t xml:space="preserve">ALQUILERES </t>
  </si>
  <si>
    <t>Por lo menos un docente culmina curso de investigación cientifica</t>
  </si>
  <si>
    <t>El  Centro Regional  participan en el programa de capacitación ofertado por la Dirección de Investigación Científica.</t>
  </si>
  <si>
    <t>2.d.1.1.CIA</t>
  </si>
  <si>
    <t>Incentivar a los docentes en investigación científica</t>
  </si>
  <si>
    <t>Docentes</t>
  </si>
  <si>
    <t>DEPARTAMENTO DE INFORMATICA, Coordinador regional y DICyP</t>
  </si>
  <si>
    <t>Gestionar la compra de dos escritorios para docentes de Informática</t>
  </si>
  <si>
    <t xml:space="preserve">Fortalecer al área de Informatica con la adquisición de equipo necesario para el mejoramiento del proceso enseñanza aprendizaje. </t>
  </si>
  <si>
    <t>Las clases de informática administrativa en su mayoría requieren del uso de un laboratorio, por lo que solo uno no logra abastecer a todas las clases</t>
  </si>
  <si>
    <t>compra de equipo de computo</t>
  </si>
  <si>
    <t xml:space="preserve">ESTUDIANTES Y DOCENTES DE INFORMATICA </t>
  </si>
  <si>
    <r>
      <rPr>
        <sz val="11"/>
        <rFont val="Calibri"/>
        <family val="2"/>
        <scheme val="minor"/>
      </rPr>
      <t xml:space="preserve">Access Point Especificaciones </t>
    </r>
    <r>
      <rPr>
        <sz val="11"/>
        <color theme="1"/>
        <rFont val="Calibri"/>
        <family val="2"/>
        <scheme val="minor"/>
      </rPr>
      <t xml:space="preserve"> </t>
    </r>
  </si>
  <si>
    <r>
      <rPr>
        <sz val="11"/>
        <rFont val="Calibri"/>
        <family val="2"/>
        <scheme val="minor"/>
      </rPr>
      <t xml:space="preserve">Router Inalambrico  Interfaces  Especificaciones 
</t>
    </r>
  </si>
  <si>
    <t xml:space="preserve">Router                                                                                                                       </t>
  </si>
  <si>
    <r>
      <rPr>
        <sz val="11"/>
        <color theme="1"/>
        <rFont val="Calibri"/>
        <family val="2"/>
        <scheme val="minor"/>
      </rPr>
      <t xml:space="preserve">Switch tipo 1
</t>
    </r>
  </si>
  <si>
    <r>
      <rPr>
        <sz val="11"/>
        <color theme="1"/>
        <rFont val="Calibri"/>
        <family val="2"/>
        <scheme val="minor"/>
      </rPr>
      <t xml:space="preserve">Switch tipo 2
</t>
    </r>
  </si>
  <si>
    <t>Caja de cable UTP categoria 5e</t>
  </si>
  <si>
    <t>Conectores RJ45</t>
  </si>
  <si>
    <t>Patch panel de 12 puertos</t>
  </si>
  <si>
    <t>UPS de 3 KVA</t>
  </si>
  <si>
    <r>
      <rPr>
        <sz val="11"/>
        <color theme="1"/>
        <rFont val="Calibri"/>
        <family val="2"/>
        <scheme val="minor"/>
      </rPr>
      <t xml:space="preserve">Rack para montar servidores                                                                                                                                 
</t>
    </r>
  </si>
  <si>
    <r>
      <rPr>
        <sz val="11"/>
        <color theme="1"/>
        <rFont val="Calibri"/>
        <family val="2"/>
        <scheme val="minor"/>
      </rPr>
      <t xml:space="preserve">Servidor
</t>
    </r>
  </si>
  <si>
    <t>11.4.15.CIA</t>
  </si>
  <si>
    <t>11.4.16.CIA</t>
  </si>
  <si>
    <t xml:space="preserve">N° de textos adquiridos </t>
  </si>
  <si>
    <t xml:space="preserve">Gestionar una capacitación con personal de la DEGT a Docentes del Area de Informatica </t>
  </si>
  <si>
    <t>17.1.2.CIA</t>
  </si>
  <si>
    <t xml:space="preserve">Ampliar los conocimientos en el area profesional de los docentes de informatica de acuerdo a las necesidades actuales </t>
  </si>
  <si>
    <t xml:space="preserve">docentes de informatica administrativa </t>
  </si>
  <si>
    <t>DEGT, COORDINACION DE LA CARRERA, ADMINISTRACION Y DIRECCION UNAHTEC</t>
  </si>
  <si>
    <t xml:space="preserve">Personal docente capacitados </t>
  </si>
  <si>
    <t xml:space="preserve">Brindar  3 cursos del area de informatica dirigido a los estudiantes de la carrera </t>
  </si>
  <si>
    <t xml:space="preserve">Incentivar a los estudiantes para que sigan capacitandose en el area de informática </t>
  </si>
  <si>
    <t xml:space="preserve">LISTADO DE PARTICIPANTES </t>
  </si>
  <si>
    <t xml:space="preserve">ESTUDIANTES DE INFORMATICA ADMINISTRATIVA </t>
  </si>
  <si>
    <t>INFORMATICA ADMINISTRATIVA</t>
  </si>
  <si>
    <t xml:space="preserve">ESTUDIANTES CON MAYOR CONOCIMIENTO EN EL AREA </t>
  </si>
  <si>
    <t>5.7.1.CIA</t>
  </si>
  <si>
    <t xml:space="preserve">ESTUDIANTES CAPACITADOS </t>
  </si>
  <si>
    <t>5.7.1.cia</t>
  </si>
  <si>
    <t xml:space="preserve">Diploma </t>
  </si>
  <si>
    <t>2.b.6.3.CAI</t>
  </si>
  <si>
    <t>actualizacion de estudiantes y docentes en temas relevantes de ing. agroindustrial, por medio de participacion de investigadores y empresas con experiencia en el campo.</t>
  </si>
  <si>
    <t xml:space="preserve">Informe de Actividad </t>
  </si>
  <si>
    <t>Docentes y estudiantes de la carrera de agroindustria</t>
  </si>
  <si>
    <t xml:space="preserve">Coordinación de la Carrera de Agroindustria, Coordinación Regional de Investigación </t>
  </si>
  <si>
    <t>Quinto Congreso regional de Ingenieria Agroindustrial</t>
  </si>
  <si>
    <t xml:space="preserve">participación  como ponentes Nacionales al congreso nacional de Investigacion cientifica UNAH con al menos dos ponencias. </t>
  </si>
  <si>
    <t>Dar a conocer los procesos de investigación de UNAH-TEC Danlí</t>
  </si>
  <si>
    <t xml:space="preserve">AGROINDUSTRIA </t>
  </si>
  <si>
    <t>Campaña realizada</t>
  </si>
  <si>
    <t>2.b.4.2.CIA</t>
  </si>
  <si>
    <t xml:space="preserve">Ponencias Inscritas en el Congreso </t>
  </si>
  <si>
    <t>Participar en al menos una convocatoria de becas de investigación por la DICU</t>
  </si>
  <si>
    <t>realizacion de al menos tres trabajos de investigacion con empresas de la zona, asimismo asesoria a microempresas en gestion de la calidad y diseño de productos agroindustriales</t>
  </si>
  <si>
    <t>2.a.2.16.CAI</t>
  </si>
  <si>
    <t>2.a.2.17.CAI</t>
  </si>
  <si>
    <t xml:space="preserve">Docentes de Agroindustria </t>
  </si>
  <si>
    <t xml:space="preserve">Carrera de Agroindustria </t>
  </si>
  <si>
    <t xml:space="preserve">Realizar campañas de motivación a los docentes de UNAH-TEC  para la elaboración de proyectos de investigación científica </t>
  </si>
  <si>
    <t>2.a.2.17.CIF</t>
  </si>
  <si>
    <t xml:space="preserve">Listado de proyectos de investigación en ejecución. </t>
  </si>
  <si>
    <t>Docentes y estudiantes UNAH-TEC Danlí</t>
  </si>
  <si>
    <t>Coordinador regional</t>
  </si>
  <si>
    <t>Realizar campaña a los docente para que realicen  publicaciones de trabajos científicos de importancia en las revistas cientificas  de la UNAH.</t>
  </si>
  <si>
    <t>Documento publicado</t>
  </si>
  <si>
    <t xml:space="preserve">Articulos realizados </t>
  </si>
  <si>
    <t>2.b.1.3.CIF</t>
  </si>
  <si>
    <t>Promover la publicación y difusión de resultados de investigaciones en congresos, eventos y foros internacionales</t>
  </si>
  <si>
    <t>2.b.7.2.CIF</t>
  </si>
  <si>
    <t>Dar a conocer los procesos de investigación de UNAH</t>
  </si>
  <si>
    <t>Ponencia presentada</t>
  </si>
  <si>
    <t>ENCUENTRO DE INVESTIGACION UNAH-TEC-DANLI</t>
  </si>
  <si>
    <t>2.b.6.4.CIF</t>
  </si>
  <si>
    <t xml:space="preserve">ENCUENTRO REALIZADO, FOTOS, INFORME </t>
  </si>
  <si>
    <t>Coordinador regional y autoridades de UNAH-TEC</t>
  </si>
  <si>
    <t xml:space="preserve">3.5.13.CAI </t>
  </si>
  <si>
    <t>que los estudiantes se vinculen y tenga experiencia en la empresa privada relacionando la teoria con la practica.</t>
  </si>
  <si>
    <t xml:space="preserve">INFORMES DE LAS INVESTIGACIONES </t>
  </si>
  <si>
    <t xml:space="preserve">EMPRESAS DE LA ZONA ORIENTAL </t>
  </si>
  <si>
    <t xml:space="preserve">CARRERA DE AGROINDUSTRIA </t>
  </si>
  <si>
    <t>Participacion, seguimiento en apoyo a la mesas sectoriales para el apoyo al desarrollo economico local de region oriental , que esten relacionadas a la agroidnustria.</t>
  </si>
  <si>
    <t xml:space="preserve">3.5.14.CAI </t>
  </si>
  <si>
    <t xml:space="preserve">Numero de Trabajos </t>
  </si>
  <si>
    <t xml:space="preserve">Numero de Seguimientos </t>
  </si>
  <si>
    <t>mejorar la vinculacion U_S de la carrera de agroindustria.</t>
  </si>
  <si>
    <t>CONSTANCIA DE PARTICIPACION</t>
  </si>
  <si>
    <t>ZONA ORIENTAL</t>
  </si>
  <si>
    <t>cuarta expoventa agroindustrial 2017, participacion del equipo docente de agroindustria, venta de productos, expocisiones, gastronomia regional.</t>
  </si>
  <si>
    <t xml:space="preserve">3.5.15.CAI </t>
  </si>
  <si>
    <t>Promover la carrera de ingenieria agroindustrial. Potenciar a los estudiantes a fabricar y vender productos agroindustriales en diferentes asignaturas con participacion mypimes agroindustriales de la zona oriental .</t>
  </si>
  <si>
    <t xml:space="preserve">Docentes y estudiantes </t>
  </si>
  <si>
    <t>Docentes Agroindustria</t>
  </si>
  <si>
    <t xml:space="preserve">ALIMENTACION </t>
  </si>
  <si>
    <t>2.d.1.2.CAI</t>
  </si>
  <si>
    <t>Departemento de Agroindustria , Coordinador regional y DICyP</t>
  </si>
  <si>
    <t xml:space="preserve">Participar en la gestion de la propuesta de proyecto de Poligono Agroindustrial de la VRI para la carrera de agroindustria, y otros que que brinden oportunidad de mejorar la calidad de la educacion </t>
  </si>
  <si>
    <t>11.2.3.CAI</t>
  </si>
  <si>
    <t>mejorar la infraestructura y laboratorios de la carrera de ingenieria agroindustrial mediante gestion internacional.</t>
  </si>
  <si>
    <t xml:space="preserve">INFORME DE PROPUESTA </t>
  </si>
  <si>
    <t>Consejo Universitario, SEAPI, Depto. de Agroindustria; Dirección UNAH-TEC</t>
  </si>
  <si>
    <t>gestión de la construccion de infraestructura de laboratorios  lacteos.</t>
  </si>
  <si>
    <t>11.2.4.CAI</t>
  </si>
  <si>
    <t>Gestionar Culminación de la construcción el edificio de aulas N 1</t>
  </si>
  <si>
    <t xml:space="preserve">Gestionar la Construccion del Segundo Edificio de Aulas </t>
  </si>
  <si>
    <t>Gestionar la Construcción de un edificio que contenga las siguientes aéreas: Dirección, Administración, Secretaria, Registro, Tesorería, Personal; Sistema de Admisiones, VOAE, Vinculación, Consejo Local, Investigación, Área de Docentes, biblioteca, sección de baños, sala de juntas, gestión de la calidad educativa y clinica de atención a estudiantes.</t>
  </si>
  <si>
    <t>11.2.5.ADMON</t>
  </si>
  <si>
    <t>11.2.6.ADMON</t>
  </si>
  <si>
    <t>11.2.7.ADMON</t>
  </si>
  <si>
    <t>No se cuentan con los laboratorios ni talleres de procesamiento de alimentos que son indispensables para enriquecer el proceso de enseñanza aprendizaje.</t>
  </si>
  <si>
    <t xml:space="preserve">Construcción e instalación de la planta piloto  </t>
  </si>
  <si>
    <t xml:space="preserve">Este Centro solo cuenta con 10 aulas para impartir 125 secciones de hora clases, los cuales no son suficientes  para atender la demanda de los estudiantes </t>
  </si>
  <si>
    <t>Estudiantes de UNAH-TEC</t>
  </si>
  <si>
    <t>Autoridades Universitarias de CU así como la Dirección del centro, SEAPI.</t>
  </si>
  <si>
    <t>La apertura de nuevas áreas académicas requiere de más espacio fisicos</t>
  </si>
  <si>
    <t>Planos de construcción de la infraestructura, y fotografias</t>
  </si>
  <si>
    <t>UNAH-TEC no cuenta con infraestructura para la parte administrativo; con dicha construcción fortalecerá a UNAH-TEC-DANLI</t>
  </si>
  <si>
    <t xml:space="preserve">Cemento </t>
  </si>
  <si>
    <t>Varilla</t>
  </si>
  <si>
    <t>A. Aulas de la Segunda Planta</t>
  </si>
  <si>
    <t xml:space="preserve">Puertas </t>
  </si>
  <si>
    <t>Ventanas de Aluminio y Celosia de Vidrio</t>
  </si>
  <si>
    <t xml:space="preserve">Cemento Gris  Tipo Portalan </t>
  </si>
  <si>
    <t xml:space="preserve">Arena de Rio Lavada </t>
  </si>
  <si>
    <t>Grava de Rio</t>
  </si>
  <si>
    <t>Bloque de Concreto de 15x20x40 cm</t>
  </si>
  <si>
    <t xml:space="preserve">Ladrillo de Granito Terrazo 30 x 30 </t>
  </si>
  <si>
    <t xml:space="preserve">Lamina de Aluminizada cal. 26 ondulada 36" x 6" </t>
  </si>
  <si>
    <t xml:space="preserve">Capote para Lamina Aluminizada </t>
  </si>
  <si>
    <t>Alambre de Amarre</t>
  </si>
  <si>
    <t>Varilla de Hiero Corruada de 3/8" x 30' Leg</t>
  </si>
  <si>
    <t xml:space="preserve">Varilla de Hierro Lisa de 5/8" x 30' legita </t>
  </si>
  <si>
    <t xml:space="preserve">Varilla de Hierro Corrugada de 1" x 30 legitima </t>
  </si>
  <si>
    <t xml:space="preserve">Varilla de Hierro Lisa de 1/4" x 30' legitima </t>
  </si>
  <si>
    <t>Canaleta de 2" x 6" x 1/16"</t>
  </si>
  <si>
    <t xml:space="preserve">Clavos dif Dimenciones </t>
  </si>
  <si>
    <t xml:space="preserve">Madera Rustica de Pino </t>
  </si>
  <si>
    <t xml:space="preserve">Sanitarios </t>
  </si>
  <si>
    <t xml:space="preserve">Mano de Obra </t>
  </si>
  <si>
    <t xml:space="preserve">Imprevistos </t>
  </si>
  <si>
    <t>Gestionar la contratación de: un profesor a tiempo completo Ingeniero Agroindustrial con maestria en el campo de agroindustria o ciencia de los alimentos; un profesor por hora para clases especificas de carrera;  un encargado de laboratorio para las plantas de proceso de alimentos.</t>
  </si>
  <si>
    <t>11.5.5.CAI</t>
  </si>
  <si>
    <t xml:space="preserve">Encargado de laboratorio </t>
  </si>
  <si>
    <t>fortalecer el equipo de profesionales de la carrera de agroidustria.</t>
  </si>
  <si>
    <t xml:space="preserve">Gestionar la Adquisición de un vehiculo doble cabina 4x4 para realizar viajes de supervision a los estudiantes que estan realizando su servicio social  y para realizar viajes de trabajo a CU. </t>
  </si>
  <si>
    <t xml:space="preserve">Gestionar Equipamiento area adminsitrativa, biblioteca, aula de ajedrez </t>
  </si>
  <si>
    <t xml:space="preserve">Gestionar Equipamiento de la sala de maestros de agroindustria.  </t>
  </si>
  <si>
    <t>gestion de equipo de laboratorio para ingenieria agroindustrial, para usos multiples.</t>
  </si>
  <si>
    <t>UNAH-TEC no cuenta con un vehiculo asignado para realizar trabajos y supervisiones de los estudiantes de enfermeria que se encuentra en servicio social</t>
  </si>
  <si>
    <t xml:space="preserve">Vehiculo </t>
  </si>
  <si>
    <t xml:space="preserve">Direccion </t>
  </si>
  <si>
    <t xml:space="preserve">para brindar um mejor servicio al estudiente, docente en las areas administrativas </t>
  </si>
  <si>
    <t>mejorar la calidad de las condiciones de los docentes de la carrera.</t>
  </si>
  <si>
    <t>RECTORIA, SEDI, SEAF, AGROINDUSTRIA , DIRECCION Y ADMINISTRACION UNAH-TEC, DEPTO DE COMPRAS.</t>
  </si>
  <si>
    <t>Mejorar la calidad de educacion pro medio de la mejora de equipo, por medio de la adquision de equipo</t>
  </si>
  <si>
    <t>11.4.18.ADMON</t>
  </si>
  <si>
    <t>11.4.19.ADMON</t>
  </si>
  <si>
    <t>11.4.20.CAI</t>
  </si>
  <si>
    <t>11.4.21.CAI</t>
  </si>
  <si>
    <t xml:space="preserve">CARRITO DE CORTAR CESPED </t>
  </si>
  <si>
    <t xml:space="preserve">PULIDORA DE PISO </t>
  </si>
  <si>
    <t xml:space="preserve">estante </t>
  </si>
  <si>
    <t xml:space="preserve">loker </t>
  </si>
  <si>
    <t xml:space="preserve">armario </t>
  </si>
  <si>
    <t xml:space="preserve">mesa </t>
  </si>
  <si>
    <t xml:space="preserve">impresora de recibos </t>
  </si>
  <si>
    <t xml:space="preserve">impresora de etiquetas </t>
  </si>
  <si>
    <t xml:space="preserve">lector de codigo de barra </t>
  </si>
  <si>
    <t xml:space="preserve">Mezcladora para carnes. Con tanque de acero inoxidable, de 110 voltios, 1/2 HP, capacidad de 50 kilos </t>
  </si>
  <si>
    <t xml:space="preserve">Termo Selladora para Bandejas 110 voltios, rodo de 18 pulgadas </t>
  </si>
  <si>
    <t>Bascula Digital 110 voltios, capacidad maxima de 5 kilos y minimo de un gramo</t>
  </si>
  <si>
    <t xml:space="preserve">Selladora para bolsa plastica y de alumninio metalica de 110 voltios, de pedal de 12 pulgadas </t>
  </si>
  <si>
    <t xml:space="preserve">Selladora para Celofan metalica de 110 voltios, de pedal de 12 pulgadas </t>
  </si>
  <si>
    <t xml:space="preserve">Empacadora al Vacio de mesa110 voltios, con camara de 20 pulgadas </t>
  </si>
  <si>
    <t>Sierra cortadora de carne y hueso Motor de 1.5 HP de 110 votios y 60 HZ</t>
  </si>
  <si>
    <t xml:space="preserve">Olla de precion de Aluninio Capacidad de 44 litros, aluninio, con manometro </t>
  </si>
  <si>
    <t>Freidora acero inoxidable, de una canasta, de gas</t>
  </si>
  <si>
    <t>Maquina de tostar café PROBAT</t>
  </si>
  <si>
    <t>Molino graduable</t>
  </si>
  <si>
    <t>Set de formatos de catación</t>
  </si>
  <si>
    <t>Balanza de precisión</t>
  </si>
  <si>
    <t>Estufa de gas de 6 quemadores (de mesa)</t>
  </si>
  <si>
    <t>Cilindros de gas LPG de 25 libras</t>
  </si>
  <si>
    <t>Mesa para perfil de tueste (Acero inoxidable)</t>
  </si>
  <si>
    <t>Mesa de acero inoxidable de 6 pies de largo</t>
  </si>
  <si>
    <t>Tester de humedad para granos rango minimo 5%</t>
  </si>
  <si>
    <t xml:space="preserve">Descremadora Manual y Eléctrica. Capacidad de 300 l/h, 100 V/60Hz/1PH                                         </t>
  </si>
  <si>
    <t>Tina Quesera de Acero Inoxidable Tina quesera de 1000 Lts. formato cilíndrico vertical.  Construida 100% en acero inoxidable calidad Aisi 304 con espesores de acuerdo al siguiente detalle: 2 mm.en fondo interior con refuerzos en chapa conformada de 1.2 mm., 1.2 mm.En cuerpo interior con terminación pulido sanitario, 1.2 mm.En tapa, puente en caño de 25.4 mm., 1 mm.En cuerpos exterior con terminación 2B. Con sistema de calentamiento de producto mediante intercambio de calor con agua caliente en fondo y sistema de refrigeración mediante circulación de agua natural por inundación y rebalse .Con agitador con motor de ¾ HP con variador de velocidad de 40 a 90 RPM. Incluye lira y pala. Válvula de salida de 4”.</t>
  </si>
  <si>
    <t>Lactodensimetro Pruebas de adulteración agua.</t>
  </si>
  <si>
    <r>
      <t xml:space="preserve">Pasteurizador </t>
    </r>
    <r>
      <rPr>
        <b/>
        <sz val="11"/>
        <color theme="1"/>
        <rFont val="Calibri"/>
        <family val="2"/>
        <scheme val="minor"/>
      </rPr>
      <t xml:space="preserve">Gurí 300 </t>
    </r>
    <r>
      <rPr>
        <sz val="11"/>
        <color theme="1"/>
        <rFont val="Calibri"/>
        <family val="2"/>
        <scheme val="minor"/>
      </rPr>
      <t>compacto continuo para leche de 300 Lts./h con sistema de calentamiento de agua por termo tanque eléctrico de acero inoxidable calidad Aisi 304 (220 Volt CA – Consumo máximo: 7 Kw/h Consumo en régimen: 4 Kw/h), sistema de intercambio de calor por placas en acero inoxidable calidad Aisi 304 con cabezales en el mismo material, con mecanismos de seguridad para garantizar temperaturas de pasteurizado. Incluye registro de la misma mediante termógrafo para PC. Con sistema de lavado C.I.P. y filtro de leche con elemento filtrante en malla de acero inoxidable.</t>
    </r>
  </si>
  <si>
    <t>Homogenizador 300 litros por hora</t>
  </si>
  <si>
    <t>Cincho con prensa 50 libras de Acero Inoxidable</t>
  </si>
  <si>
    <t>Lacto scan 60 Pruebas de calidad en leche</t>
  </si>
  <si>
    <t>Llenadora de liquidos (empacadora) Acero inoxidable 500 l/h, 12 v.</t>
  </si>
  <si>
    <t>mesa de acero inoxidable 14x4x6 pies</t>
  </si>
  <si>
    <t>frezzer congelador vertical  dos puertas, acero inoxidable, temperatura de -24 °C, con compresor y evaporador, panel digital, 1.38x0.78x2.1 mts</t>
  </si>
  <si>
    <t>frezer mostrador horizontal para carnes 14x5 pies, 110 V, interior de acero inoxidable</t>
  </si>
  <si>
    <t>estufa industrial 4 quemadores con plancha,  de gas.</t>
  </si>
  <si>
    <t>fregadero Acero inoxidable, dos cubetas, con grifo, patas cuadradas.</t>
  </si>
  <si>
    <t>estantes de acero inoxidable 1.8 mtrs, acero inoxidable 10 niveles, lisos con ruedas</t>
  </si>
  <si>
    <t>deshidratdor industrial de frutas acero inoxidable, 220V, temperatura hasta de 300 °C, dimensiones de 3.5x4.5x4.5, iso.</t>
  </si>
  <si>
    <t>invernadero para productos agricolas de base madera con malla antivirus de  50 mesh,  3.67x150 mts, ya instalado</t>
  </si>
  <si>
    <t>pozo artesanal malacate con accesorios para bombeo tuberias, parte electrica, bomba electrica, de 5 hp</t>
  </si>
  <si>
    <t xml:space="preserve">cuarto frio industrial 4x4 mts, 220v. Temperatura 0 °C, 11M3, capacidad de 2300kg. </t>
  </si>
  <si>
    <t xml:space="preserve">Purificador de Agua con las siguientes características: ozonizador de agua: elimina quistes, bacterias, solidos T1, capacidad 1000 unidades por mes, de acero inoxidable, 220 V, 1000 W; caudadl 5 galones por hora minimo  </t>
  </si>
  <si>
    <t>Extrusor para extracción de aceites</t>
  </si>
  <si>
    <t>Extrusor para Snack</t>
  </si>
  <si>
    <t>Ollas de acero inoxidable</t>
  </si>
  <si>
    <t>Ollas de acero inoxidable de 60 litros</t>
  </si>
  <si>
    <t>Ollas de presión de acero inoxidable</t>
  </si>
  <si>
    <t>Calentador de agua</t>
  </si>
  <si>
    <t>Tuberia Agua Fría</t>
  </si>
  <si>
    <t>Manguera para suministro de agua en M.</t>
  </si>
  <si>
    <t>Pistolas de agua</t>
  </si>
  <si>
    <t>Tuberia Agua Caliente</t>
  </si>
  <si>
    <t>Tuberia Vapor</t>
  </si>
  <si>
    <t>Compresor de aire comprimido</t>
  </si>
  <si>
    <t>Tuberia Aire Comprimido</t>
  </si>
  <si>
    <t>Gases inertes (Tanque)</t>
  </si>
  <si>
    <t>Valvula doble para control de presión (incluye 2 manómetros)</t>
  </si>
  <si>
    <t xml:space="preserve">Caldera de gas para suministro de calor a multiples equipos </t>
  </si>
  <si>
    <t>Estantes</t>
  </si>
  <si>
    <t>Librero</t>
  </si>
  <si>
    <t xml:space="preserve">Pizarra </t>
  </si>
  <si>
    <t>realizacion de una gira educativas Nacional a zonas que cuentan con cultivos y procesos industrializados que la zona oriental no cuenta.</t>
  </si>
  <si>
    <t xml:space="preserve">Los estudiantes fortalecen los conocimientos teoricos mediante giras educativas </t>
  </si>
  <si>
    <t xml:space="preserve">N° de giras </t>
  </si>
  <si>
    <t>que los estudiantes conozcan los procesos de transformacion de difefentes materias primas agroindustrriales</t>
  </si>
  <si>
    <t>Informe de Giras Realizadas</t>
  </si>
  <si>
    <t>Estudiantes de Ingenieria Agroindustrial</t>
  </si>
  <si>
    <t>6.c.1.CAI</t>
  </si>
  <si>
    <t xml:space="preserve">promover la capacitacion del personal docente, egresados y estudiantes en el exterior </t>
  </si>
  <si>
    <t>N° de egresados aplicando a becas</t>
  </si>
  <si>
    <t xml:space="preserve">N° de reuniones </t>
  </si>
  <si>
    <t>Intercambio, juntas, reuniones con la VRI para fortalecimiento de la internacionalizacion de UNAH-TEC-DANLI.</t>
  </si>
  <si>
    <t xml:space="preserve">docentes capacitados </t>
  </si>
  <si>
    <t xml:space="preserve">Gestionar capacitacion a docentes de la carrera de agroindustria en eventos nacionales e internacionales en el area </t>
  </si>
  <si>
    <t>N° de promosiones</t>
  </si>
  <si>
    <t>Promosión de becas y pasantias de becas al extranjero de estudiantes, docentes, admistrativos y egresados</t>
  </si>
  <si>
    <t>aumentar el numero de expertos del campo de la agroindustria, asi como de disponer un relevo generacional de la carrera y demas carreras</t>
  </si>
  <si>
    <t xml:space="preserve">EGRESADOS APLICANDO A BECAS </t>
  </si>
  <si>
    <t>EGRESADOS UNAH-TEC</t>
  </si>
  <si>
    <t>ENLACE REGIONAL VRI</t>
  </si>
  <si>
    <t>incentivar la internacionalizacion de los diferentes procesos educativos de UNAH-TEC-DANLI</t>
  </si>
  <si>
    <t xml:space="preserve">INVITACION A REUNIONES </t>
  </si>
  <si>
    <t>promover la internacionalizacion de la carrera de ing. agroindustrial.</t>
  </si>
  <si>
    <t>DIPLOMA DE PARTICIPACION</t>
  </si>
  <si>
    <t xml:space="preserve">DOCENTES DE AGROINDUSTRIA </t>
  </si>
  <si>
    <t>incentivar a obtener especialidades y master en el extranjero para especializar personal de la unah-tec-danli</t>
  </si>
  <si>
    <t xml:space="preserve">DOCUMENTOS PUBLICADOS </t>
  </si>
  <si>
    <t>14.a.1..1.VRI</t>
  </si>
  <si>
    <t>14.a.4.1.VRI</t>
  </si>
  <si>
    <t>14.a.1.2.VRI</t>
  </si>
  <si>
    <t>14.a.4.2.VRI</t>
  </si>
  <si>
    <t xml:space="preserve">lograr que al menos dos egresados del centro regional apliquen a programas de becas internacionales </t>
  </si>
  <si>
    <t xml:space="preserve">PASAJE </t>
  </si>
  <si>
    <t>Programa / Proyecto 2016</t>
  </si>
  <si>
    <t>Crear al menos 3 cursos a estudiantes de ing. agroindustrial</t>
  </si>
  <si>
    <t>5.7.2.CAI</t>
  </si>
  <si>
    <t>Incentivar a los estudiantes para que sigan capacitandose en el area de ingenieiria.</t>
  </si>
  <si>
    <t xml:space="preserve">ESTUDIANTES DE AGROINDUSTRIA </t>
  </si>
  <si>
    <t xml:space="preserve">Agroindustria </t>
  </si>
  <si>
    <t xml:space="preserve"> 4 cursos para docentes, estudiantes y graduados en avances  cientificos y tecnologicos ,en las ciencias de la enfermeria .</t>
  </si>
  <si>
    <t>5.7.3.CE</t>
  </si>
  <si>
    <t xml:space="preserve">Incentivar a los estudiantes y graduados para que sigan capacitandose en el area de enfermeria  </t>
  </si>
  <si>
    <t xml:space="preserve">Estudiantes y graduados de enfermeria </t>
  </si>
  <si>
    <t>Carrera de Enfermeria</t>
  </si>
  <si>
    <t>Mejorar la calidad de las carreras de UNAH-TEC</t>
  </si>
  <si>
    <t xml:space="preserve">Planes de mejora </t>
  </si>
  <si>
    <t>seguimiento al plan de mejora del proceso de autoevaluacion en los diferentes factores.</t>
  </si>
  <si>
    <t>9.2.1.CAI</t>
  </si>
  <si>
    <t>Acreditación de las carreras de UNAH-TEC Danlí</t>
  </si>
  <si>
    <t>Informes de avance del plan de mejora</t>
  </si>
  <si>
    <t>UNAH-TEC Danlí</t>
  </si>
  <si>
    <t>Coordinadores de carrera, Vicerrectoria académica, dirección UNAH-TEC Danlí</t>
  </si>
  <si>
    <t xml:space="preserve">Ampliar la cobertura de estudiantes que han recibido la debida información sobre la normativa vigente , el reglamento estudiantil y demas leyes que le atañen para el I ,II y  III trimestre </t>
  </si>
  <si>
    <t xml:space="preserve">Ampliar la meta de beneficiados por el programa de becas incorporando un mínimo de 25 becas en cada etapa de recepcion </t>
  </si>
  <si>
    <t xml:space="preserve">Promover las visitas a un mayor numero de colegios de la región oriental ,promocionando el proceso de ingreso a la UNAH ,la oferta educativa y el programa de becas </t>
  </si>
  <si>
    <t>Mejorada la Atención a estudiantes de primer ingreso</t>
  </si>
  <si>
    <t>Curso introducción a la vida universitaria 3 veces al año, charlas informativas a los estudiantes de primer ingreso, difusión de reglamento estudiantil y reconocimiento de las áreas que funcionan en el centro regional.</t>
  </si>
  <si>
    <t xml:space="preserve">Incremento en el número de estudiantes debidamente informados </t>
  </si>
  <si>
    <t>ESTUDIANTES UNAH-TEC</t>
  </si>
  <si>
    <t xml:space="preserve">VOAE </t>
  </si>
  <si>
    <t xml:space="preserve">AMPLIAR LA COBERTURA DE LOS ESTUDIANTES DE PRIMER ingreso debidamente informados.  Lograr que los estudiantes reconozcan e incorporen la normativa estudiantil en su desempeño académico </t>
  </si>
  <si>
    <t xml:space="preserve">Incremento en el numero de estudiantes beneficiados con una beca. </t>
  </si>
  <si>
    <t>Solicitudes inscritas a nivel de ciudad universitaria, N° de visitas domiciliaras.</t>
  </si>
  <si>
    <t xml:space="preserve">Apoyo a los estudiantes de escasos recursos economicos para continuar con los estudios universitarios </t>
  </si>
  <si>
    <t xml:space="preserve">Becas Aprobadas </t>
  </si>
  <si>
    <t>Difundir adecuadamente toda la oferta académica de la UNAH</t>
  </si>
  <si>
    <t xml:space="preserve">Aumento en la población de UNAH-tec verificando la correlación entre los estudiantes visitados y los que tuvieran algún contacto atavez d ela PAA, o cualquier otro acercamiento a ala institución </t>
  </si>
  <si>
    <t>Estudiantes de educación medio del departamento del paraíso</t>
  </si>
  <si>
    <t xml:space="preserve">VOAE, Coordianadores de Carrera </t>
  </si>
  <si>
    <t>Promovida la oferta educativa de UNAH-TEC DANLÍ  y orientar a los aspirantes en los lineamientos basicos de la PAA</t>
  </si>
  <si>
    <t>Jornadas de promoción realizadas</t>
  </si>
  <si>
    <t>5.1.1.VOAE</t>
  </si>
  <si>
    <t>5.1.2.VOAE</t>
  </si>
  <si>
    <t>5.1.3.VOAE</t>
  </si>
  <si>
    <t>5.7.4.CE</t>
  </si>
  <si>
    <t>Inclusión de los grupos artisticos en el festival folklorico centroamericano FICCUA</t>
  </si>
  <si>
    <t>Participación de la danza folklorica en el FICCUA 2017</t>
  </si>
  <si>
    <t>5.7.5.VOAE</t>
  </si>
  <si>
    <t>5.7.6.VOAE</t>
  </si>
  <si>
    <t>Promover el arte y cultura en los estudiante</t>
  </si>
  <si>
    <t xml:space="preserve">Consursos </t>
  </si>
  <si>
    <t>Estudiantes  de UNAH-TEC-DANLÍ</t>
  </si>
  <si>
    <t xml:space="preserve">Grupos inscritos </t>
  </si>
  <si>
    <t>5.15.1.VOAE</t>
  </si>
  <si>
    <t>5.8.1.VOAE</t>
  </si>
  <si>
    <t xml:space="preserve">Desarrollo de concursos de dibujo,caricatura , fotografia y cuento. </t>
  </si>
  <si>
    <t>Desarrollo de los talleres de apoyo por profesionales capacitados en el área de dibujo, caricatura, fotografia y cuento.</t>
  </si>
  <si>
    <t>5.7.5.CE</t>
  </si>
  <si>
    <t>5.7.7.VOAE</t>
  </si>
  <si>
    <t xml:space="preserve">Concurso Realizado </t>
  </si>
  <si>
    <t xml:space="preserve">Talleres Realizados </t>
  </si>
  <si>
    <t xml:space="preserve"> Mejorar la eficacia y calidad de los servicios estudiantiles que ofrece VOAE </t>
  </si>
  <si>
    <t xml:space="preserve">Listado de participantes en el taller </t>
  </si>
  <si>
    <t xml:space="preserve">Premiacion de consurso En acto solemne entrega de premio al primero y segundo lugar a los ganadores </t>
  </si>
  <si>
    <t>5.7.8.VOAE</t>
  </si>
  <si>
    <t xml:space="preserve">materiales de curso </t>
  </si>
  <si>
    <t xml:space="preserve">Premios </t>
  </si>
  <si>
    <t xml:space="preserve">Alimentación </t>
  </si>
  <si>
    <t xml:space="preserve">Desarrollo del primer torneo del fútbol Sala </t>
  </si>
  <si>
    <t xml:space="preserve">Incorporación de nuevas solicitudes para becas deportivas </t>
  </si>
  <si>
    <t xml:space="preserve">Desarrollo de torneo de ajedrez </t>
  </si>
  <si>
    <t>Participacion de UNAH-TEC ; DANLÍ  en los juego JUDUNA 2017</t>
  </si>
  <si>
    <t>Incorporacion del curso de masajes dirigidos a alumnos de la carrera de enfermería de UNAH-TEC ; DANLÍ</t>
  </si>
  <si>
    <t xml:space="preserve">Hacer la tramitación correspondiente para acreditar a los jóvenes atletas a la liga mayor </t>
  </si>
  <si>
    <t>Desarrollar un torneo de fútbol denominado copa FESTIMA , esto en el marca de la celebración del festival internacional del maiz</t>
  </si>
  <si>
    <t xml:space="preserve">Incorporacion del equipo de fútbol masculino a la liga mayor Pedro Nufio </t>
  </si>
  <si>
    <t>Inclusión de los cuadros artisticos como la danza en la celebración del FESTIMA</t>
  </si>
  <si>
    <t xml:space="preserve">Reconocimiento a los atletas que integrarón los diferentes equipos </t>
  </si>
  <si>
    <t xml:space="preserve">Participar en campañas de prevención y control de enfermedades vectoriales de alta incidencia o prevalencia ejm. Dengue ,chinkungunya y zica </t>
  </si>
  <si>
    <t>Actividades de limpieza y fumigación de los predios de UNAH-TEC ;DANLÍ</t>
  </si>
  <si>
    <t xml:space="preserve">Desarrollo de brigada estudiantil </t>
  </si>
  <si>
    <t>Charlas de prevención y control sobre VIH Sida e ITS</t>
  </si>
  <si>
    <t>Aumentar el número de estudiantes atendidos en la clínica estudiantil</t>
  </si>
  <si>
    <t xml:space="preserve">Celebrar un dia sin tabaco mediante murales ,trifolios y charlas </t>
  </si>
  <si>
    <t xml:space="preserve">Vigilar y monitorear la calidad de servicios alimenticios que operan en UNAH-TEC ; DANLÍ </t>
  </si>
  <si>
    <t>Brigada estudiantil incorporando otros servicios que no se ofrecen desde la clínica</t>
  </si>
  <si>
    <t>Fumigación de los predios de UNAH -TEC ; DANLÍ</t>
  </si>
  <si>
    <t>Charlas sobre prevención y control de enfermedades vectoriales de alta incidencia  o prevalencia</t>
  </si>
  <si>
    <t xml:space="preserve">Charla sobre estilos de vida saludable </t>
  </si>
  <si>
    <t>Promover la cultura fisica en los estudiantes de UNAH-TEC</t>
  </si>
  <si>
    <t>Listado de participantes en el torneo</t>
  </si>
  <si>
    <t xml:space="preserve">Torneo Realizado </t>
  </si>
  <si>
    <t>5.7.9.VOAE</t>
  </si>
  <si>
    <t>5.7.10.VOAE</t>
  </si>
  <si>
    <t xml:space="preserve">Torneos Realizados </t>
  </si>
  <si>
    <t xml:space="preserve">Promover y socializar la investigación bajo el esquema de vida saludable </t>
  </si>
  <si>
    <t xml:space="preserve">Cursos Brindados </t>
  </si>
  <si>
    <t xml:space="preserve">Atletas acreditados </t>
  </si>
  <si>
    <t xml:space="preserve">Equipo inscrito </t>
  </si>
  <si>
    <t>5.7.11.VOAE</t>
  </si>
  <si>
    <t xml:space="preserve">Investigacion Realizada </t>
  </si>
  <si>
    <t>5.7.12.VOAE</t>
  </si>
  <si>
    <t>5.7.13.VOAE</t>
  </si>
  <si>
    <t>5.7.14.VOAE</t>
  </si>
  <si>
    <t>5.7.15.VOAE</t>
  </si>
  <si>
    <t>5.7.16.VOAE</t>
  </si>
  <si>
    <t>5.7.17.VOAE</t>
  </si>
  <si>
    <t>5.7.18.VOAE</t>
  </si>
  <si>
    <t>5.7.19.VOAE</t>
  </si>
  <si>
    <t>5.7.20.VOAE</t>
  </si>
  <si>
    <t>5.7.21.VOAE</t>
  </si>
  <si>
    <t>5.7.22.VOAE</t>
  </si>
  <si>
    <t>5.7.23.VOAE</t>
  </si>
  <si>
    <t>5.7.24.VOAE</t>
  </si>
  <si>
    <t>Docente realiza investigación</t>
  </si>
  <si>
    <t>Al menos un docentes que cursen el diplomado del campo de la investigación cientifica del a UNAH</t>
  </si>
  <si>
    <t>Motivar al personal docente en la participación del diplomado de investigación cientifica.</t>
  </si>
  <si>
    <t xml:space="preserve">Participación con ponencias en el Congreso de Investigación Cientifica </t>
  </si>
  <si>
    <t>Realizar  investigación en misiones por quema de desechos sólidos en el crematorio municipal de Danlí</t>
  </si>
  <si>
    <t>2.b.4.3.ICF</t>
  </si>
  <si>
    <t xml:space="preserve">Pasajes </t>
  </si>
  <si>
    <t xml:space="preserve">Diplomas </t>
  </si>
  <si>
    <t xml:space="preserve">Alquileres </t>
  </si>
  <si>
    <t>2.d.1.3.CIF</t>
  </si>
  <si>
    <t xml:space="preserve">Inscripcion </t>
  </si>
  <si>
    <t xml:space="preserve">No de Inscrpciones </t>
  </si>
  <si>
    <t xml:space="preserve">Equipos inscritos </t>
  </si>
  <si>
    <t>Documento de investigación</t>
  </si>
  <si>
    <t xml:space="preserve">Campaña Realizada </t>
  </si>
  <si>
    <t xml:space="preserve">Actividad Realizada </t>
  </si>
  <si>
    <t>Brigada Realizada</t>
  </si>
  <si>
    <t>5.7.25.VOAE</t>
  </si>
  <si>
    <t>5.7.26.VOAE</t>
  </si>
  <si>
    <t>5.7.27.VOAE</t>
  </si>
  <si>
    <t>5.7.28.VOAE</t>
  </si>
  <si>
    <t>5.7.29.VOAE</t>
  </si>
  <si>
    <t>5.7.30.VOAE</t>
  </si>
  <si>
    <t xml:space="preserve">Charla realizada </t>
  </si>
  <si>
    <t xml:space="preserve">Estudiantes Atendidos </t>
  </si>
  <si>
    <t>Celebración Realizada</t>
  </si>
  <si>
    <t>Listado de atletas inscritos en liga mayor</t>
  </si>
  <si>
    <t xml:space="preserve">listado de participantes </t>
  </si>
  <si>
    <t>Promover estilos de vida saludable en los estudiantes de UNAH-TEC</t>
  </si>
  <si>
    <t xml:space="preserve">Listado de estudiantes atendidos </t>
  </si>
  <si>
    <t xml:space="preserve">Listado de estudiantes que recibieron la charla </t>
  </si>
  <si>
    <t xml:space="preserve">Fumigación Realizada </t>
  </si>
  <si>
    <t xml:space="preserve">Informe de la actividad </t>
  </si>
  <si>
    <t>Monitoreo Realizado</t>
  </si>
  <si>
    <t xml:space="preserve">Listado de estudoantes atendidos </t>
  </si>
  <si>
    <t xml:space="preserve">Inscripcion de atletas </t>
  </si>
  <si>
    <t>Realizar un Analisis de la calidad de Agua de una cuenca ubicada en   la Ciudad de Danlí</t>
  </si>
  <si>
    <t>En conjunto con la Carrera de Enfermeria participar en La Feria de la salud, atravez de la gestion de medicamentos con diferentes casas farmaceuticas y en la atencion al publico</t>
  </si>
  <si>
    <t>Producción de medicamentos naturales tales como jarabes, jabones, tinturas , unguentos con los alumnos de las Carreras de Enfermeria e Ingenieria Agroindustrial , beneficiandoasi a  diversas familias de escasos recursos  ubicados en distintas comunidades del municipio de Danli</t>
  </si>
  <si>
    <t xml:space="preserve">Ferias Realizadas </t>
  </si>
  <si>
    <t xml:space="preserve">3.5.16.DQ </t>
  </si>
  <si>
    <t xml:space="preserve">3.5.17.DQCE </t>
  </si>
  <si>
    <t xml:space="preserve">3.5.18.DQ </t>
  </si>
  <si>
    <t xml:space="preserve">En las clases de enfermeria se hara la  implementacion de proyectos  en el departamento  a la comunidades con mayor vulnerabilidad </t>
  </si>
  <si>
    <t>ATA; asistencia de población y listado de estudiantes</t>
  </si>
  <si>
    <t xml:space="preserve">Población que demande atención </t>
  </si>
  <si>
    <t xml:space="preserve">Depto de Quimica y Enfermeria </t>
  </si>
  <si>
    <t xml:space="preserve">Esta actividad permitira iniciar los estudios de calidad de aguas en las cuencas de la zona oriental; para que en un futuro cercano UNAH-TEC-DANLÍ brinde los servicios a la entidades que lo requieran.  </t>
  </si>
  <si>
    <t xml:space="preserve">Informe de los resultados obtenidos </t>
  </si>
  <si>
    <t>Colonia Nueva Esperanza de Danli</t>
  </si>
  <si>
    <t xml:space="preserve">Departamento de quimica, departamento de microbiologia </t>
  </si>
  <si>
    <t xml:space="preserve">Contribuir con la salud de la población de la Zona Oriental especialmente con las personas de bajos recursos mediante el uso de medicamentos naturales elaborados en el Centro Regional </t>
  </si>
  <si>
    <t xml:space="preserve">Productos elaborados y entregados a la población beneficiada </t>
  </si>
  <si>
    <t>Población que demande de medicamentos</t>
  </si>
  <si>
    <t>Deptos de Quimica, Enfermeria, Ciencias; Administración Deirección UNAH-TEC</t>
  </si>
  <si>
    <t xml:space="preserve">Medicamentos Elaborados </t>
  </si>
  <si>
    <t xml:space="preserve">Analisis Realizados </t>
  </si>
  <si>
    <t xml:space="preserve">Proyectos Realizados </t>
  </si>
  <si>
    <t>Placa instalada</t>
  </si>
  <si>
    <t xml:space="preserve">Envases </t>
  </si>
  <si>
    <t xml:space="preserve">Materia prima </t>
  </si>
  <si>
    <t xml:space="preserve">Gestión para la adquisición  mobiliario para el departamento   archivo, 10 sillas ejecutivas, mesa de reuniones 10 personas, 10 sillas. </t>
  </si>
  <si>
    <t xml:space="preserve">Gestión de equipo de oficina y material de laboratorio para el area de Ciencias Medicas 
</t>
  </si>
  <si>
    <t xml:space="preserve">Gestionar la adquisicion de un servidor, rack, cableado UTP, router y un switch para diferentes clases </t>
  </si>
  <si>
    <t xml:space="preserve">Fotocopiadora </t>
  </si>
  <si>
    <t xml:space="preserve">Reproductor de documentos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</si>
</sst>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10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0"/>
      <color rgb="FF000000"/>
      <name val="Arial"/>
      <family val="2"/>
    </font>
    <font>
      <sz val="12"/>
      <color rgb="FF000000"/>
      <name val="Arial Narrow"/>
      <family val="2"/>
    </font>
    <font>
      <sz val="11"/>
      <color theme="1"/>
      <name val="Arial"/>
      <family val="2"/>
    </font>
    <font>
      <sz val="11"/>
      <name val="Arial"/>
      <family val="2"/>
    </font>
    <font>
      <sz val="11"/>
      <color rgb="FF000000"/>
      <name val="Calibri"/>
      <family val="2"/>
      <scheme val="minor"/>
    </font>
    <font>
      <sz val="10"/>
      <color theme="1"/>
      <name val="Calibri"/>
      <family val="2"/>
    </font>
    <font>
      <sz val="11"/>
      <color rgb="FF111111"/>
      <name val="Wingdings"/>
      <charset val="2"/>
    </font>
    <font>
      <sz val="7"/>
      <color rgb="FF111111"/>
      <name val="Times New Roman"/>
      <family val="1"/>
    </font>
    <font>
      <sz val="11"/>
      <color rgb="FF111111"/>
      <name val="Calibri"/>
      <family val="2"/>
    </font>
    <font>
      <sz val="10"/>
      <color theme="1"/>
      <name val="Calibri"/>
      <family val="2"/>
      <scheme val="minor"/>
    </font>
    <font>
      <sz val="12"/>
      <name val="Arial Narrow"/>
      <family val="2"/>
    </font>
    <font>
      <sz val="11"/>
      <name val="Arial Narrow"/>
      <family val="2"/>
    </font>
    <font>
      <sz val="12"/>
      <color theme="1"/>
      <name val="Arial Narrow"/>
      <family val="2"/>
    </font>
    <font>
      <sz val="12"/>
      <color theme="1"/>
      <name val="Calibri"/>
      <family val="2"/>
    </font>
    <font>
      <sz val="11"/>
      <color indexed="8"/>
      <name val="Arial"/>
      <family val="2"/>
    </font>
    <font>
      <sz val="10"/>
      <name val="Calibri"/>
      <family val="2"/>
    </font>
    <font>
      <u/>
      <sz val="12"/>
      <color rgb="FF000000"/>
      <name val="Arial Narrow"/>
      <family val="2"/>
    </font>
    <font>
      <sz val="12"/>
      <color rgb="FFFF0000"/>
      <name val="Calibri"/>
      <family val="2"/>
    </font>
    <font>
      <sz val="12"/>
      <color rgb="FF00B050"/>
      <name val="Arial Narrow"/>
      <family val="2"/>
    </font>
    <font>
      <sz val="1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92D050"/>
        <bgColor indexed="64"/>
      </patternFill>
    </fill>
  </fills>
  <borders count="6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rgb="FF000000"/>
      </top>
      <bottom/>
      <diagonal/>
    </border>
    <border>
      <left/>
      <right/>
      <top style="thin">
        <color rgb="FF000000"/>
      </top>
      <bottom style="thin">
        <color rgb="FF000000"/>
      </bottom>
      <diagonal/>
    </border>
    <border>
      <left/>
      <right/>
      <top style="thin">
        <color rgb="FF000000"/>
      </top>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right/>
      <top style="thin">
        <color auto="1"/>
      </top>
      <bottom style="thin">
        <color auto="1"/>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80" fillId="0" borderId="0"/>
  </cellStyleXfs>
  <cellXfs count="79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81" fillId="2" borderId="58" xfId="20" applyFont="1" applyFill="1" applyBorder="1" applyAlignment="1">
      <alignment horizontal="left" vertical="top" wrapText="1"/>
    </xf>
    <xf numFmtId="0" fontId="80" fillId="0" borderId="0" xfId="20" applyAlignment="1">
      <alignment wrapText="1"/>
    </xf>
    <xf numFmtId="0" fontId="82" fillId="0" borderId="59" xfId="0" applyFont="1" applyBorder="1" applyAlignment="1">
      <alignment vertical="center" wrapText="1"/>
    </xf>
    <xf numFmtId="0" fontId="83" fillId="2" borderId="27" xfId="19" applyFont="1" applyFill="1" applyBorder="1" applyAlignment="1">
      <alignment horizontal="center" vertical="center" wrapText="1"/>
    </xf>
    <xf numFmtId="0" fontId="84" fillId="2" borderId="0" xfId="0" applyFont="1" applyFill="1" applyAlignment="1">
      <alignment horizontal="justify"/>
    </xf>
    <xf numFmtId="0" fontId="85" fillId="2" borderId="26" xfId="19" applyFont="1" applyFill="1" applyBorder="1" applyAlignment="1">
      <alignment horizontal="center" vertical="top" wrapText="1"/>
    </xf>
    <xf numFmtId="0" fontId="86" fillId="0" borderId="0" xfId="0" applyFont="1" applyAlignment="1">
      <alignment horizontal="justify" vertical="top" wrapText="1"/>
    </xf>
    <xf numFmtId="0" fontId="81" fillId="0" borderId="60" xfId="20" applyFont="1" applyFill="1" applyBorder="1" applyAlignment="1">
      <alignment horizontal="left" vertical="top" wrapText="1"/>
    </xf>
    <xf numFmtId="0" fontId="89" fillId="2" borderId="26" xfId="0" applyFont="1" applyFill="1" applyBorder="1" applyAlignment="1">
      <alignment horizontal="left" vertical="top" wrapText="1"/>
    </xf>
    <xf numFmtId="0" fontId="89" fillId="2" borderId="26" xfId="0" applyFont="1" applyFill="1" applyBorder="1" applyAlignment="1">
      <alignment vertical="top" wrapText="1"/>
    </xf>
    <xf numFmtId="0" fontId="89" fillId="2" borderId="26" xfId="0" applyFont="1" applyFill="1" applyBorder="1" applyAlignment="1">
      <alignment horizontal="center" vertical="top" wrapText="1"/>
    </xf>
    <xf numFmtId="0" fontId="32" fillId="0" borderId="37" xfId="0" applyFont="1" applyFill="1" applyBorder="1" applyAlignment="1">
      <alignment horizontal="center" vertical="center" wrapText="1"/>
    </xf>
    <xf numFmtId="0" fontId="90" fillId="0" borderId="60" xfId="20" applyFont="1" applyFill="1" applyBorder="1" applyAlignment="1">
      <alignment horizontal="left" vertical="top" wrapText="1"/>
    </xf>
    <xf numFmtId="0" fontId="90" fillId="2" borderId="60" xfId="20" applyFont="1" applyFill="1" applyBorder="1" applyAlignment="1">
      <alignment horizontal="center" vertical="top" wrapText="1"/>
    </xf>
    <xf numFmtId="0" fontId="89" fillId="2" borderId="26" xfId="0" applyFont="1" applyFill="1" applyBorder="1" applyAlignment="1">
      <alignment horizontal="center" vertical="center" wrapText="1"/>
    </xf>
    <xf numFmtId="9" fontId="90" fillId="2" borderId="26" xfId="20" applyNumberFormat="1" applyFont="1" applyFill="1" applyBorder="1" applyAlignment="1">
      <alignment horizontal="center" vertical="top" wrapText="1"/>
    </xf>
    <xf numFmtId="43" fontId="21" fillId="6" borderId="24" xfId="0" applyNumberFormat="1" applyFont="1" applyFill="1" applyBorder="1" applyAlignment="1">
      <alignment vertical="center"/>
    </xf>
    <xf numFmtId="41" fontId="22" fillId="2" borderId="18" xfId="0" applyNumberFormat="1" applyFont="1" applyFill="1" applyBorder="1" applyAlignment="1">
      <alignment horizontal="center" vertical="center"/>
    </xf>
    <xf numFmtId="0" fontId="22" fillId="2" borderId="26" xfId="0" applyFont="1" applyFill="1" applyBorder="1" applyAlignment="1">
      <alignment vertical="center"/>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85" fillId="2" borderId="26" xfId="19" applyFont="1" applyFill="1" applyBorder="1" applyAlignment="1">
      <alignment vertical="top" wrapText="1"/>
    </xf>
    <xf numFmtId="9" fontId="91" fillId="2" borderId="62" xfId="20" applyNumberFormat="1" applyFont="1" applyFill="1" applyBorder="1" applyAlignment="1">
      <alignment horizontal="center" vertical="top" wrapText="1"/>
    </xf>
    <xf numFmtId="0" fontId="91" fillId="2" borderId="58" xfId="20" applyFont="1" applyFill="1" applyBorder="1" applyAlignment="1">
      <alignment horizontal="center" vertical="top" wrapText="1"/>
    </xf>
    <xf numFmtId="9" fontId="90" fillId="2" borderId="62" xfId="20" applyNumberFormat="1" applyFont="1" applyFill="1" applyBorder="1" applyAlignment="1">
      <alignment horizontal="center" vertical="top" wrapText="1"/>
    </xf>
    <xf numFmtId="0" fontId="32" fillId="2" borderId="63" xfId="0" applyFont="1" applyFill="1" applyBorder="1" applyAlignment="1">
      <alignment vertical="center" wrapText="1"/>
    </xf>
    <xf numFmtId="0" fontId="49" fillId="14" borderId="45"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48" xfId="0" applyFont="1" applyFill="1" applyBorder="1" applyAlignment="1">
      <alignment horizontal="center" vertical="center"/>
    </xf>
    <xf numFmtId="0" fontId="23" fillId="11" borderId="32" xfId="0" applyFont="1" applyFill="1" applyBorder="1" applyAlignment="1">
      <alignment horizontal="center" vertical="center"/>
    </xf>
    <xf numFmtId="0" fontId="22" fillId="2" borderId="26" xfId="0" applyFont="1" applyFill="1" applyBorder="1" applyAlignment="1">
      <alignment horizontal="center" vertical="center"/>
    </xf>
    <xf numFmtId="0" fontId="29" fillId="0" borderId="26" xfId="19" applyFont="1" applyBorder="1" applyAlignment="1">
      <alignment horizontal="center" vertical="center" wrapText="1"/>
    </xf>
    <xf numFmtId="9" fontId="32" fillId="0" borderId="26" xfId="18" applyNumberFormat="1" applyFont="1" applyBorder="1" applyAlignment="1">
      <alignment horizontal="center" vertical="center" wrapText="1"/>
    </xf>
    <xf numFmtId="9" fontId="90" fillId="2" borderId="64" xfId="20" applyNumberFormat="1" applyFont="1" applyFill="1" applyBorder="1" applyAlignment="1">
      <alignment horizontal="center" vertical="top" wrapText="1"/>
    </xf>
    <xf numFmtId="0" fontId="83" fillId="0" borderId="0" xfId="0" applyFont="1" applyAlignment="1">
      <alignment horizontal="justify" vertical="center"/>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35" fillId="0" borderId="26" xfId="19" applyFont="1" applyBorder="1" applyAlignment="1">
      <alignment vertical="center" wrapText="1"/>
    </xf>
    <xf numFmtId="9" fontId="90" fillId="2" borderId="65" xfId="20" applyNumberFormat="1" applyFont="1" applyFill="1" applyBorder="1" applyAlignment="1">
      <alignment horizontal="center" vertical="top" wrapText="1"/>
    </xf>
    <xf numFmtId="0" fontId="90" fillId="2" borderId="61" xfId="20" applyFont="1" applyFill="1" applyBorder="1" applyAlignment="1">
      <alignment horizontal="center" vertical="top" wrapText="1"/>
    </xf>
    <xf numFmtId="0" fontId="81" fillId="0" borderId="66" xfId="20" applyFont="1" applyFill="1" applyBorder="1" applyAlignment="1">
      <alignment horizontal="left" vertical="top" wrapText="1"/>
    </xf>
    <xf numFmtId="9" fontId="90" fillId="2" borderId="0" xfId="20" applyNumberFormat="1" applyFont="1" applyFill="1" applyBorder="1" applyAlignment="1">
      <alignment horizontal="center" vertical="top" wrapText="1"/>
    </xf>
    <xf numFmtId="0" fontId="22" fillId="2" borderId="0" xfId="0" applyFont="1" applyFill="1" applyBorder="1" applyAlignment="1">
      <alignment vertical="center"/>
    </xf>
    <xf numFmtId="41"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43" fontId="21" fillId="3" borderId="3" xfId="18" applyFont="1" applyFill="1" applyBorder="1" applyAlignment="1">
      <alignment horizontal="center" vertical="center"/>
    </xf>
    <xf numFmtId="171" fontId="21" fillId="3" borderId="3" xfId="10" applyNumberFormat="1" applyFont="1" applyFill="1" applyBorder="1" applyAlignment="1">
      <alignment horizontal="center" vertical="center"/>
    </xf>
    <xf numFmtId="0" fontId="29" fillId="0" borderId="26" xfId="19" applyFont="1" applyBorder="1" applyAlignment="1">
      <alignment horizontal="center" vertical="center" wrapText="1"/>
    </xf>
    <xf numFmtId="0" fontId="22" fillId="5" borderId="12" xfId="0" applyFont="1" applyFill="1" applyBorder="1" applyAlignment="1">
      <alignment vertical="center" wrapText="1"/>
    </xf>
    <xf numFmtId="0" fontId="81" fillId="2" borderId="60" xfId="20" applyFont="1" applyFill="1" applyBorder="1" applyAlignment="1">
      <alignment horizontal="left" vertical="top" wrapText="1"/>
    </xf>
    <xf numFmtId="0" fontId="90" fillId="2" borderId="26" xfId="20" applyFont="1" applyFill="1" applyBorder="1" applyAlignment="1">
      <alignment horizontal="center" vertical="top" wrapText="1"/>
    </xf>
    <xf numFmtId="0" fontId="85" fillId="2" borderId="63" xfId="19" applyFont="1" applyFill="1" applyBorder="1" applyAlignment="1">
      <alignment vertical="top" wrapText="1"/>
    </xf>
    <xf numFmtId="0" fontId="89" fillId="2" borderId="63" xfId="0" applyFont="1" applyFill="1" applyBorder="1" applyAlignment="1">
      <alignment horizontal="center" vertical="top" wrapText="1"/>
    </xf>
    <xf numFmtId="0" fontId="32" fillId="0" borderId="27" xfId="0" applyFont="1" applyFill="1" applyBorder="1" applyAlignment="1">
      <alignment horizontal="center" vertical="center" wrapText="1"/>
    </xf>
    <xf numFmtId="0" fontId="0" fillId="2" borderId="0" xfId="0" applyFill="1" applyAlignment="1">
      <alignment vertical="center"/>
    </xf>
    <xf numFmtId="0" fontId="23" fillId="2" borderId="0" xfId="0" applyFont="1" applyFill="1" applyBorder="1" applyAlignment="1">
      <alignment vertical="center"/>
    </xf>
    <xf numFmtId="0" fontId="23" fillId="2" borderId="0" xfId="0" applyNumberFormat="1" applyFont="1" applyFill="1" applyBorder="1" applyAlignment="1">
      <alignment horizontal="center" vertical="center"/>
    </xf>
    <xf numFmtId="0" fontId="49" fillId="2" borderId="0" xfId="0" applyFont="1" applyFill="1" applyBorder="1" applyAlignment="1">
      <alignment horizontal="center" vertical="center"/>
    </xf>
    <xf numFmtId="0" fontId="38" fillId="0" borderId="63" xfId="19" applyFont="1" applyBorder="1" applyAlignment="1">
      <alignment horizontal="center" vertical="center" wrapText="1"/>
    </xf>
    <xf numFmtId="0" fontId="81" fillId="0" borderId="61" xfId="20" applyFont="1" applyFill="1" applyBorder="1" applyAlignment="1">
      <alignment horizontal="left" vertical="top" wrapText="1"/>
    </xf>
    <xf numFmtId="0" fontId="33" fillId="0" borderId="63" xfId="19" applyFont="1" applyBorder="1" applyAlignment="1">
      <alignment horizontal="center" vertical="center" wrapText="1"/>
    </xf>
    <xf numFmtId="0" fontId="90" fillId="2" borderId="58" xfId="20" applyFont="1" applyFill="1" applyBorder="1" applyAlignment="1">
      <alignment horizontal="center" vertical="top" wrapText="1"/>
    </xf>
    <xf numFmtId="0" fontId="33" fillId="0" borderId="26" xfId="19" applyFont="1" applyBorder="1" applyAlignment="1">
      <alignment horizontal="center" vertical="top" wrapText="1"/>
    </xf>
    <xf numFmtId="0" fontId="38" fillId="0" borderId="26" xfId="19" applyFont="1" applyBorder="1" applyAlignment="1">
      <alignment horizontal="center" vertical="top" wrapText="1"/>
    </xf>
    <xf numFmtId="0" fontId="33" fillId="0" borderId="65" xfId="19" applyFont="1" applyBorder="1" applyAlignment="1">
      <alignment horizontal="center" vertical="center" wrapText="1"/>
    </xf>
    <xf numFmtId="9" fontId="33" fillId="0" borderId="26" xfId="18" applyNumberFormat="1" applyFont="1" applyBorder="1" applyAlignment="1">
      <alignment horizontal="center" vertical="center" wrapText="1"/>
    </xf>
    <xf numFmtId="0" fontId="90" fillId="2" borderId="60" xfId="20" applyFont="1" applyFill="1" applyBorder="1" applyAlignment="1">
      <alignment horizontal="left" vertical="top" wrapText="1"/>
    </xf>
    <xf numFmtId="0" fontId="4" fillId="2" borderId="0" xfId="0" applyFont="1" applyFill="1" applyAlignment="1">
      <alignment horizontal="justify" vertical="top" wrapText="1"/>
    </xf>
    <xf numFmtId="41" fontId="39" fillId="0" borderId="26" xfId="19" applyNumberFormat="1" applyFont="1" applyBorder="1" applyAlignment="1">
      <alignment horizontal="center" vertical="center" wrapText="1"/>
    </xf>
    <xf numFmtId="0" fontId="90" fillId="2" borderId="58" xfId="20" applyFont="1" applyFill="1" applyBorder="1" applyAlignment="1">
      <alignment horizontal="left" vertical="top" wrapText="1"/>
    </xf>
    <xf numFmtId="9" fontId="92" fillId="2" borderId="0" xfId="20" applyNumberFormat="1" applyFont="1" applyFill="1" applyBorder="1" applyAlignment="1">
      <alignment horizontal="center" vertical="top" wrapText="1"/>
    </xf>
    <xf numFmtId="9" fontId="92" fillId="2" borderId="65" xfId="20" applyNumberFormat="1" applyFont="1" applyFill="1" applyBorder="1" applyAlignment="1">
      <alignment horizontal="center" vertical="top" wrapText="1"/>
    </xf>
    <xf numFmtId="0" fontId="22" fillId="5" borderId="65" xfId="0" applyNumberFormat="1" applyFont="1" applyFill="1" applyBorder="1" applyAlignment="1">
      <alignment horizontal="center" vertical="center"/>
    </xf>
    <xf numFmtId="0" fontId="22" fillId="5" borderId="10" xfId="0" applyFont="1" applyFill="1" applyBorder="1" applyAlignment="1">
      <alignment horizontal="left" vertical="center" wrapText="1"/>
    </xf>
    <xf numFmtId="0" fontId="22" fillId="5" borderId="10" xfId="0" applyFont="1" applyFill="1" applyBorder="1" applyAlignment="1">
      <alignment vertical="center" wrapText="1"/>
    </xf>
    <xf numFmtId="0" fontId="93" fillId="2" borderId="26" xfId="19" applyFont="1" applyFill="1" applyBorder="1" applyAlignment="1">
      <alignment horizontal="left" vertical="top" wrapText="1"/>
    </xf>
    <xf numFmtId="0" fontId="35" fillId="2" borderId="26" xfId="19" applyFont="1" applyFill="1" applyBorder="1" applyAlignment="1">
      <alignment horizontal="center" vertical="center" wrapText="1"/>
    </xf>
    <xf numFmtId="0" fontId="90" fillId="0" borderId="66" xfId="20" applyFont="1" applyFill="1" applyBorder="1" applyAlignment="1">
      <alignment horizontal="left" vertical="top" wrapText="1"/>
    </xf>
    <xf numFmtId="9" fontId="28" fillId="23" borderId="26" xfId="0" applyNumberFormat="1" applyFont="1" applyFill="1" applyBorder="1" applyAlignment="1" applyProtection="1">
      <alignment horizontal="center" vertical="center" wrapText="1"/>
      <protection locked="0"/>
    </xf>
    <xf numFmtId="41" fontId="28" fillId="23" borderId="26" xfId="0" applyNumberFormat="1" applyFont="1" applyFill="1" applyBorder="1" applyAlignment="1" applyProtection="1">
      <alignment horizontal="center" vertical="center" wrapText="1"/>
      <protection locked="0"/>
    </xf>
    <xf numFmtId="0" fontId="94" fillId="0" borderId="26" xfId="19" applyFont="1" applyFill="1" applyBorder="1" applyAlignment="1">
      <alignment horizontal="center" vertical="center" wrapText="1"/>
    </xf>
    <xf numFmtId="0" fontId="81" fillId="2" borderId="26" xfId="20" applyFont="1" applyFill="1" applyBorder="1" applyAlignment="1">
      <alignment horizontal="center" vertical="center" wrapText="1"/>
    </xf>
    <xf numFmtId="0" fontId="81" fillId="2" borderId="60" xfId="20" applyFont="1" applyFill="1" applyBorder="1" applyAlignment="1">
      <alignment horizontal="left" vertical="center" wrapText="1"/>
    </xf>
    <xf numFmtId="0" fontId="81" fillId="2" borderId="61" xfId="20" applyFont="1" applyFill="1" applyBorder="1" applyAlignment="1">
      <alignment horizontal="left" vertical="top" wrapText="1"/>
    </xf>
    <xf numFmtId="0" fontId="81" fillId="2" borderId="26" xfId="20" applyFont="1" applyFill="1" applyBorder="1" applyAlignment="1">
      <alignment horizontal="left" vertical="top" wrapText="1"/>
    </xf>
    <xf numFmtId="0" fontId="95" fillId="0" borderId="26" xfId="19" applyFont="1" applyBorder="1" applyAlignment="1">
      <alignment vertical="top" wrapText="1"/>
    </xf>
    <xf numFmtId="0" fontId="81" fillId="0" borderId="58" xfId="20" applyFont="1" applyFill="1" applyBorder="1" applyAlignment="1">
      <alignment horizontal="left" vertical="top" wrapText="1"/>
    </xf>
    <xf numFmtId="0" fontId="81" fillId="0" borderId="60" xfId="20" applyFont="1" applyFill="1" applyBorder="1" applyAlignment="1">
      <alignment vertical="top" wrapText="1"/>
    </xf>
    <xf numFmtId="0" fontId="0" fillId="0" borderId="26" xfId="0" applyFont="1" applyBorder="1"/>
    <xf numFmtId="4" fontId="0" fillId="0" borderId="26" xfId="0" applyNumberFormat="1" applyFont="1" applyBorder="1"/>
    <xf numFmtId="3" fontId="0" fillId="0" borderId="26" xfId="0" applyNumberFormat="1" applyFont="1" applyBorder="1"/>
    <xf numFmtId="0" fontId="0" fillId="0" borderId="26" xfId="0" applyFont="1" applyBorder="1" applyAlignment="1">
      <alignment vertical="top"/>
    </xf>
    <xf numFmtId="4" fontId="0" fillId="0" borderId="26" xfId="0" applyNumberFormat="1" applyFont="1" applyBorder="1" applyAlignment="1">
      <alignment vertical="top"/>
    </xf>
    <xf numFmtId="43" fontId="0" fillId="0" borderId="26" xfId="18" applyFont="1" applyBorder="1"/>
    <xf numFmtId="0" fontId="4" fillId="0" borderId="26" xfId="0" applyFont="1" applyBorder="1"/>
    <xf numFmtId="0" fontId="22" fillId="5" borderId="26" xfId="0" applyNumberFormat="1" applyFont="1" applyFill="1" applyBorder="1" applyAlignment="1">
      <alignment horizontal="center" vertical="center"/>
    </xf>
    <xf numFmtId="41" fontId="22" fillId="2" borderId="26" xfId="0" applyNumberFormat="1" applyFont="1" applyFill="1" applyBorder="1" applyAlignment="1">
      <alignment vertical="center"/>
    </xf>
    <xf numFmtId="0" fontId="29" fillId="2" borderId="26" xfId="19" applyFont="1" applyFill="1" applyBorder="1" applyAlignment="1">
      <alignment horizontal="center" vertical="center" wrapText="1"/>
    </xf>
    <xf numFmtId="0" fontId="83" fillId="0" borderId="27" xfId="19" applyFont="1" applyFill="1" applyBorder="1" applyAlignment="1">
      <alignment horizontal="center" vertical="center" wrapText="1"/>
    </xf>
    <xf numFmtId="0" fontId="81" fillId="0" borderId="26" xfId="20" applyFont="1" applyFill="1" applyBorder="1" applyAlignment="1">
      <alignment horizontal="left" vertical="top" wrapText="1"/>
    </xf>
    <xf numFmtId="0" fontId="26" fillId="0" borderId="26" xfId="19" applyFont="1" applyBorder="1" applyAlignment="1">
      <alignment vertical="center" wrapText="1"/>
    </xf>
    <xf numFmtId="0" fontId="93" fillId="2" borderId="26" xfId="19" applyFont="1" applyFill="1" applyBorder="1" applyAlignment="1">
      <alignment horizontal="center" vertical="center" wrapText="1"/>
    </xf>
    <xf numFmtId="0" fontId="81" fillId="0" borderId="60" xfId="20" applyFont="1" applyFill="1" applyBorder="1" applyAlignment="1">
      <alignment horizontal="center" vertical="top" wrapText="1"/>
    </xf>
    <xf numFmtId="0" fontId="94" fillId="0" borderId="63" xfId="19" applyFont="1" applyFill="1" applyBorder="1" applyAlignment="1">
      <alignment vertical="center" wrapText="1"/>
    </xf>
    <xf numFmtId="0" fontId="94" fillId="0" borderId="26" xfId="19" applyFont="1" applyFill="1" applyBorder="1" applyAlignment="1">
      <alignment vertical="center"/>
    </xf>
    <xf numFmtId="0" fontId="32" fillId="0" borderId="63" xfId="0" applyFont="1" applyFill="1" applyBorder="1" applyAlignment="1">
      <alignment vertical="center" wrapText="1"/>
    </xf>
    <xf numFmtId="0" fontId="90" fillId="0" borderId="60" xfId="20" applyFont="1" applyFill="1" applyBorder="1" applyAlignment="1">
      <alignment horizontal="center" vertical="top" wrapText="1"/>
    </xf>
    <xf numFmtId="0" fontId="29" fillId="0" borderId="28" xfId="19" applyFont="1" applyBorder="1" applyAlignment="1">
      <alignment horizontal="center" vertical="center" wrapText="1"/>
    </xf>
    <xf numFmtId="0" fontId="29" fillId="0" borderId="26" xfId="19" applyFont="1" applyFill="1" applyBorder="1" applyAlignment="1">
      <alignment horizontal="center" vertical="center" wrapText="1"/>
    </xf>
    <xf numFmtId="0" fontId="95" fillId="0" borderId="26" xfId="19" applyFont="1" applyBorder="1" applyAlignment="1">
      <alignment horizontal="center" vertical="top" wrapText="1"/>
    </xf>
    <xf numFmtId="9" fontId="97" fillId="0" borderId="26" xfId="19" applyNumberFormat="1" applyFont="1" applyBorder="1" applyAlignment="1">
      <alignment horizontal="center" vertical="center" wrapText="1"/>
    </xf>
    <xf numFmtId="0" fontId="97" fillId="0" borderId="26" xfId="19" applyFont="1" applyBorder="1" applyAlignment="1">
      <alignment horizontal="center" vertical="center" wrapText="1"/>
    </xf>
    <xf numFmtId="4" fontId="97" fillId="0" borderId="26" xfId="19" applyNumberFormat="1" applyFont="1" applyBorder="1" applyAlignment="1">
      <alignment horizontal="center" vertical="center" wrapText="1"/>
    </xf>
    <xf numFmtId="9" fontId="90" fillId="2" borderId="67" xfId="20" applyNumberFormat="1" applyFont="1" applyFill="1" applyBorder="1" applyAlignment="1">
      <alignment horizontal="center" vertical="top" wrapText="1"/>
    </xf>
    <xf numFmtId="0" fontId="85" fillId="0" borderId="26" xfId="19" applyFont="1" applyBorder="1" applyAlignment="1">
      <alignment vertical="top" wrapText="1"/>
    </xf>
    <xf numFmtId="0" fontId="85" fillId="0" borderId="26" xfId="19" applyFont="1" applyBorder="1" applyAlignment="1">
      <alignment horizontal="center" vertical="top" wrapText="1"/>
    </xf>
    <xf numFmtId="43" fontId="39" fillId="0" borderId="26" xfId="18" applyFont="1" applyBorder="1" applyAlignment="1">
      <alignment horizontal="center" vertical="center" wrapText="1"/>
    </xf>
    <xf numFmtId="0" fontId="98" fillId="2" borderId="60" xfId="20" applyFont="1" applyFill="1" applyBorder="1" applyAlignment="1">
      <alignment horizontal="center" vertical="top" wrapText="1"/>
    </xf>
    <xf numFmtId="0" fontId="0" fillId="5" borderId="26" xfId="0" applyFill="1" applyBorder="1" applyAlignment="1">
      <alignment wrapText="1"/>
    </xf>
    <xf numFmtId="0" fontId="0" fillId="5" borderId="26" xfId="0" applyFont="1" applyFill="1" applyBorder="1" applyAlignment="1">
      <alignment horizontal="center"/>
    </xf>
    <xf numFmtId="43" fontId="0" fillId="5" borderId="26" xfId="18" applyFont="1" applyFill="1" applyBorder="1" applyAlignment="1">
      <alignment horizontal="center"/>
    </xf>
    <xf numFmtId="0" fontId="21" fillId="3" borderId="0" xfId="0" applyFont="1" applyFill="1" applyBorder="1"/>
    <xf numFmtId="0" fontId="22" fillId="3" borderId="13" xfId="0" applyNumberFormat="1" applyFont="1" applyFill="1" applyBorder="1" applyAlignment="1">
      <alignment horizontal="center" vertical="center"/>
    </xf>
    <xf numFmtId="41" fontId="22" fillId="3" borderId="14" xfId="0" applyNumberFormat="1" applyFont="1" applyFill="1" applyBorder="1" applyAlignment="1">
      <alignment vertical="center"/>
    </xf>
    <xf numFmtId="0" fontId="22" fillId="5" borderId="10" xfId="0" applyFont="1" applyFill="1" applyBorder="1"/>
    <xf numFmtId="41" fontId="22" fillId="5" borderId="65" xfId="0" applyNumberFormat="1" applyFont="1" applyFill="1" applyBorder="1" applyAlignment="1"/>
    <xf numFmtId="171" fontId="22" fillId="5" borderId="17" xfId="0" applyNumberFormat="1" applyFont="1" applyFill="1" applyBorder="1"/>
    <xf numFmtId="0" fontId="95" fillId="2" borderId="26" xfId="19" applyFont="1" applyFill="1" applyBorder="1" applyAlignment="1">
      <alignment horizontal="left" vertical="top" wrapText="1"/>
    </xf>
    <xf numFmtId="0" fontId="22" fillId="2" borderId="4" xfId="0" applyFont="1" applyFill="1" applyBorder="1" applyAlignment="1">
      <alignment horizontal="center" vertical="center"/>
    </xf>
    <xf numFmtId="0" fontId="0" fillId="0" borderId="34" xfId="0" applyBorder="1" applyAlignment="1">
      <alignment vertical="center"/>
    </xf>
    <xf numFmtId="0" fontId="22" fillId="2" borderId="34" xfId="0" applyFont="1" applyFill="1" applyBorder="1" applyAlignment="1">
      <alignment horizontal="center" vertical="center"/>
    </xf>
    <xf numFmtId="0" fontId="89" fillId="0" borderId="26" xfId="0" applyFont="1" applyBorder="1" applyAlignment="1">
      <alignment vertical="top" wrapText="1"/>
    </xf>
    <xf numFmtId="0" fontId="89" fillId="0" borderId="26" xfId="0" applyFont="1" applyBorder="1" applyAlignment="1">
      <alignment horizontal="center" vertical="top" wrapText="1"/>
    </xf>
    <xf numFmtId="1" fontId="4" fillId="0" borderId="26" xfId="0" applyNumberFormat="1" applyFont="1" applyBorder="1" applyAlignment="1">
      <alignment horizontal="center"/>
    </xf>
    <xf numFmtId="43" fontId="4" fillId="0" borderId="26" xfId="18" applyFont="1" applyBorder="1" applyAlignment="1">
      <alignment horizontal="center" vertical="center" wrapText="1"/>
    </xf>
    <xf numFmtId="0" fontId="4" fillId="0" borderId="26" xfId="0" applyFont="1" applyBorder="1" applyAlignment="1">
      <alignment horizontal="left" vertical="center" wrapText="1"/>
    </xf>
    <xf numFmtId="0" fontId="23" fillId="11" borderId="63" xfId="0" applyFont="1" applyFill="1" applyBorder="1" applyAlignment="1">
      <alignment horizontal="center" vertical="center" wrapText="1"/>
    </xf>
    <xf numFmtId="41" fontId="23" fillId="11" borderId="63" xfId="0" applyNumberFormat="1" applyFont="1" applyFill="1" applyBorder="1" applyAlignment="1">
      <alignment horizontal="center" vertical="center" wrapText="1"/>
    </xf>
    <xf numFmtId="0" fontId="23" fillId="16" borderId="26" xfId="0" applyFont="1" applyFill="1" applyBorder="1" applyAlignment="1">
      <alignment vertical="center"/>
    </xf>
    <xf numFmtId="0" fontId="49" fillId="14" borderId="26" xfId="0" applyFont="1" applyFill="1" applyBorder="1" applyAlignment="1">
      <alignment horizontal="center" vertical="center"/>
    </xf>
    <xf numFmtId="0" fontId="99" fillId="0" borderId="26" xfId="0" applyFont="1" applyBorder="1" applyAlignment="1">
      <alignment horizontal="left" vertical="top" wrapText="1"/>
    </xf>
    <xf numFmtId="0" fontId="0" fillId="0" borderId="26" xfId="0" applyFont="1" applyBorder="1" applyAlignment="1">
      <alignment wrapText="1"/>
    </xf>
    <xf numFmtId="1" fontId="4" fillId="0" borderId="26" xfId="18" applyNumberFormat="1" applyFont="1" applyFill="1" applyBorder="1" applyAlignment="1">
      <alignment horizontal="center" vertical="center" wrapText="1"/>
    </xf>
    <xf numFmtId="43" fontId="0" fillId="0" borderId="26" xfId="18" applyFont="1" applyBorder="1" applyAlignment="1"/>
    <xf numFmtId="0" fontId="0" fillId="0" borderId="26" xfId="0" applyBorder="1" applyAlignment="1">
      <alignment wrapText="1"/>
    </xf>
    <xf numFmtId="0" fontId="0" fillId="0" borderId="26" xfId="0" applyFont="1" applyBorder="1" applyAlignment="1">
      <alignment vertical="top" wrapText="1"/>
    </xf>
    <xf numFmtId="0" fontId="0" fillId="0" borderId="26" xfId="0" applyFont="1" applyBorder="1" applyAlignment="1">
      <alignment horizontal="center" wrapText="1"/>
    </xf>
    <xf numFmtId="0" fontId="0" fillId="0" borderId="26" xfId="0" applyFont="1" applyBorder="1" applyAlignment="1">
      <alignment horizontal="left" wrapText="1"/>
    </xf>
    <xf numFmtId="0" fontId="4" fillId="0" borderId="26" xfId="0" applyFont="1" applyBorder="1" applyAlignment="1">
      <alignment wrapText="1"/>
    </xf>
    <xf numFmtId="43" fontId="4" fillId="0" borderId="26" xfId="18" applyFont="1" applyBorder="1"/>
    <xf numFmtId="43" fontId="4" fillId="2" borderId="26" xfId="18" applyFont="1" applyFill="1" applyBorder="1" applyAlignment="1">
      <alignment horizontal="center"/>
    </xf>
    <xf numFmtId="0" fontId="0" fillId="2" borderId="26" xfId="0" applyFont="1" applyFill="1" applyBorder="1"/>
    <xf numFmtId="0" fontId="0" fillId="2" borderId="26" xfId="0" applyFont="1" applyFill="1" applyBorder="1" applyAlignment="1">
      <alignment horizontal="center"/>
    </xf>
    <xf numFmtId="43" fontId="0" fillId="2" borderId="26" xfId="18" applyFont="1" applyFill="1" applyBorder="1" applyAlignment="1">
      <alignment horizontal="center"/>
    </xf>
    <xf numFmtId="0" fontId="0" fillId="2" borderId="26" xfId="0" applyFont="1" applyFill="1" applyBorder="1" applyAlignment="1">
      <alignment wrapText="1"/>
    </xf>
    <xf numFmtId="0" fontId="81" fillId="0" borderId="60" xfId="20" applyFont="1" applyFill="1" applyBorder="1" applyAlignment="1">
      <alignment horizontal="center" vertical="center" wrapText="1"/>
    </xf>
    <xf numFmtId="0" fontId="90" fillId="2" borderId="58" xfId="20" applyFont="1" applyFill="1" applyBorder="1" applyAlignment="1">
      <alignment horizontal="center" vertical="center" wrapText="1"/>
    </xf>
    <xf numFmtId="9" fontId="90" fillId="2" borderId="60" xfId="20" applyNumberFormat="1" applyFont="1" applyFill="1" applyBorder="1" applyAlignment="1">
      <alignment horizontal="center" vertical="top" wrapText="1"/>
    </xf>
    <xf numFmtId="10" fontId="32" fillId="0" borderId="26" xfId="0" applyNumberFormat="1"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82" fillId="2" borderId="63" xfId="0" applyFont="1" applyFill="1" applyBorder="1" applyAlignment="1">
      <alignment vertical="center" wrapText="1"/>
    </xf>
    <xf numFmtId="0" fontId="83" fillId="2" borderId="63" xfId="0" applyFont="1" applyFill="1" applyBorder="1" applyAlignment="1">
      <alignment vertical="top" wrapText="1"/>
    </xf>
    <xf numFmtId="9" fontId="33" fillId="2" borderId="26" xfId="19" applyNumberFormat="1" applyFont="1" applyFill="1" applyBorder="1" applyAlignment="1">
      <alignment horizontal="center" vertical="center" wrapText="1"/>
    </xf>
    <xf numFmtId="0" fontId="85" fillId="2" borderId="37" xfId="19" applyFont="1" applyFill="1" applyBorder="1" applyAlignment="1">
      <alignment vertical="top" wrapText="1"/>
    </xf>
    <xf numFmtId="0" fontId="90" fillId="2" borderId="0" xfId="20" applyFont="1" applyFill="1" applyBorder="1" applyAlignment="1">
      <alignment horizontal="center" vertical="top" wrapText="1"/>
    </xf>
    <xf numFmtId="0" fontId="0" fillId="0" borderId="38" xfId="0" applyBorder="1" applyAlignment="1">
      <alignment wrapText="1"/>
    </xf>
    <xf numFmtId="0" fontId="0" fillId="0" borderId="38" xfId="0" applyBorder="1" applyAlignment="1">
      <alignment horizontal="center" vertical="center" wrapText="1"/>
    </xf>
    <xf numFmtId="0" fontId="33" fillId="0" borderId="37" xfId="19" applyFont="1" applyBorder="1" applyAlignment="1">
      <alignment horizontal="center" vertical="center" wrapText="1"/>
    </xf>
    <xf numFmtId="0" fontId="0" fillId="0" borderId="63" xfId="0" applyBorder="1" applyAlignment="1">
      <alignment horizontal="left" vertical="center" wrapText="1"/>
    </xf>
    <xf numFmtId="0" fontId="0" fillId="0" borderId="26" xfId="0" applyFill="1" applyBorder="1" applyAlignment="1">
      <alignment wrapText="1"/>
    </xf>
    <xf numFmtId="0" fontId="95" fillId="0" borderId="26" xfId="19" applyFont="1" applyFill="1" applyBorder="1" applyAlignment="1">
      <alignment vertical="top" wrapText="1"/>
    </xf>
    <xf numFmtId="0" fontId="89" fillId="0" borderId="26" xfId="0" applyFont="1" applyBorder="1" applyAlignment="1">
      <alignment vertical="center" wrapText="1"/>
    </xf>
    <xf numFmtId="0" fontId="85" fillId="2" borderId="26" xfId="19" applyFont="1" applyFill="1" applyBorder="1" applyAlignment="1">
      <alignment vertical="center" wrapText="1"/>
    </xf>
    <xf numFmtId="0" fontId="0" fillId="0" borderId="26" xfId="0" applyFill="1" applyBorder="1" applyAlignment="1">
      <alignment vertical="center" wrapText="1"/>
    </xf>
    <xf numFmtId="0" fontId="0" fillId="2" borderId="26" xfId="0" applyFill="1" applyBorder="1" applyAlignment="1">
      <alignment horizontal="center" vertical="center" wrapText="1"/>
    </xf>
    <xf numFmtId="0" fontId="0" fillId="2" borderId="26" xfId="0" applyFill="1" applyBorder="1" applyAlignment="1">
      <alignment vertical="center" wrapText="1"/>
    </xf>
    <xf numFmtId="41" fontId="22" fillId="24" borderId="12" xfId="0" applyNumberFormat="1" applyFont="1" applyFill="1" applyBorder="1" applyAlignment="1">
      <alignment vertical="center"/>
    </xf>
    <xf numFmtId="41" fontId="22" fillId="24" borderId="17" xfId="0" applyNumberFormat="1" applyFont="1" applyFill="1" applyBorder="1" applyAlignment="1">
      <alignment vertical="center"/>
    </xf>
    <xf numFmtId="41" fontId="22" fillId="0" borderId="12" xfId="0" applyNumberFormat="1" applyFont="1" applyFill="1" applyBorder="1" applyAlignment="1">
      <alignment vertical="center"/>
    </xf>
    <xf numFmtId="41" fontId="22" fillId="0" borderId="26" xfId="0" applyNumberFormat="1" applyFon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3" fillId="0" borderId="63"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1"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63" xfId="19" applyFont="1" applyBorder="1" applyAlignment="1">
      <alignment horizontal="center" vertical="center" wrapText="1"/>
    </xf>
    <xf numFmtId="0" fontId="32" fillId="0" borderId="63"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32" fillId="2" borderId="63"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xf numFmtId="0" fontId="54" fillId="3" borderId="0" xfId="0" applyNumberFormat="1" applyFont="1" applyFill="1" applyAlignment="1">
      <alignment horizontal="left" vertical="center"/>
    </xf>
    <xf numFmtId="44" fontId="3" fillId="3" borderId="0" xfId="10" applyFont="1" applyFill="1" applyAlignment="1">
      <alignment horizontal="center" vertical="center"/>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4" xfId="20"/>
    <cellStyle name="Porcentaje" xfId="17" builtinId="5"/>
    <cellStyle name="Währung [0]_Hoja1" xfId="6"/>
    <cellStyle name="Währung_Hoja1" xfId="7"/>
  </cellStyles>
  <dxfs count="53">
    <dxf>
      <font>
        <color theme="0"/>
      </font>
      <fill>
        <patternFill>
          <bgColor rgb="FFFF0000"/>
        </patternFill>
      </fill>
    </dxf>
    <dxf>
      <font>
        <strike/>
        <color theme="1"/>
      </font>
      <fill>
        <patternFill>
          <bgColor rgb="FFFFFF00"/>
        </patternFill>
      </fill>
    </dxf>
    <dxf>
      <font>
        <strike/>
        <color theme="1"/>
      </font>
      <fill>
        <patternFill>
          <bgColor rgb="FFFFFF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1</c:v>
                </c:pt>
                <c:pt idx="6">
                  <c:v>0</c:v>
                </c:pt>
                <c:pt idx="7">
                  <c:v>0</c:v>
                </c:pt>
                <c:pt idx="8">
                  <c:v>0</c:v>
                </c:pt>
                <c:pt idx="9">
                  <c:v>0</c:v>
                </c:pt>
                <c:pt idx="10">
                  <c:v>0</c:v>
                </c:pt>
                <c:pt idx="11">
                  <c:v>0</c:v>
                </c:pt>
                <c:pt idx="12">
                  <c:v>0</c:v>
                </c:pt>
                <c:pt idx="13">
                  <c:v>108</c:v>
                </c:pt>
                <c:pt idx="14">
                  <c:v>0</c:v>
                </c:pt>
                <c:pt idx="15">
                  <c:v>0</c:v>
                </c:pt>
                <c:pt idx="16">
                  <c:v>0</c:v>
                </c:pt>
              </c:numCache>
            </c:numRef>
          </c:val>
        </c:ser>
        <c:dLbls>
          <c:showLegendKey val="0"/>
          <c:showVal val="0"/>
          <c:showCatName val="0"/>
          <c:showSerName val="0"/>
          <c:showPercent val="0"/>
          <c:showBubbleSize val="0"/>
        </c:dLbls>
        <c:gapWidth val="150"/>
        <c:shape val="box"/>
        <c:axId val="213853696"/>
        <c:axId val="450597632"/>
        <c:axId val="0"/>
      </c:bar3DChart>
      <c:catAx>
        <c:axId val="213853696"/>
        <c:scaling>
          <c:orientation val="minMax"/>
        </c:scaling>
        <c:delete val="0"/>
        <c:axPos val="b"/>
        <c:numFmt formatCode="General" sourceLinked="0"/>
        <c:majorTickMark val="none"/>
        <c:minorTickMark val="none"/>
        <c:tickLblPos val="nextTo"/>
        <c:txPr>
          <a:bodyPr/>
          <a:lstStyle/>
          <a:p>
            <a:pPr>
              <a:defRPr lang="es-HN"/>
            </a:pPr>
            <a:endParaRPr lang="es-HN"/>
          </a:p>
        </c:txPr>
        <c:crossAx val="450597632"/>
        <c:crosses val="autoZero"/>
        <c:auto val="1"/>
        <c:lblAlgn val="ctr"/>
        <c:lblOffset val="100"/>
        <c:noMultiLvlLbl val="0"/>
      </c:catAx>
      <c:valAx>
        <c:axId val="4505976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21385369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20</c:v>
                </c:pt>
                <c:pt idx="1">
                  <c:v>26</c:v>
                </c:pt>
                <c:pt idx="2">
                  <c:v>20</c:v>
                </c:pt>
                <c:pt idx="3">
                  <c:v>0</c:v>
                </c:pt>
                <c:pt idx="4">
                  <c:v>18</c:v>
                </c:pt>
                <c:pt idx="5">
                  <c:v>1</c:v>
                </c:pt>
                <c:pt idx="6">
                  <c:v>19</c:v>
                </c:pt>
                <c:pt idx="7">
                  <c:v>0</c:v>
                </c:pt>
                <c:pt idx="8">
                  <c:v>0</c:v>
                </c:pt>
                <c:pt idx="9">
                  <c:v>0</c:v>
                </c:pt>
              </c:numCache>
            </c:numRef>
          </c:val>
        </c:ser>
        <c:dLbls>
          <c:showLegendKey val="0"/>
          <c:showVal val="0"/>
          <c:showCatName val="0"/>
          <c:showSerName val="0"/>
          <c:showPercent val="0"/>
          <c:showBubbleSize val="0"/>
        </c:dLbls>
        <c:gapWidth val="150"/>
        <c:shape val="box"/>
        <c:axId val="74621312"/>
        <c:axId val="74622848"/>
        <c:axId val="0"/>
      </c:bar3DChart>
      <c:catAx>
        <c:axId val="74621312"/>
        <c:scaling>
          <c:orientation val="minMax"/>
        </c:scaling>
        <c:delete val="0"/>
        <c:axPos val="b"/>
        <c:numFmt formatCode="General" sourceLinked="0"/>
        <c:majorTickMark val="none"/>
        <c:minorTickMark val="none"/>
        <c:tickLblPos val="nextTo"/>
        <c:txPr>
          <a:bodyPr/>
          <a:lstStyle/>
          <a:p>
            <a:pPr>
              <a:defRPr lang="es-HN"/>
            </a:pPr>
            <a:endParaRPr lang="es-HN"/>
          </a:p>
        </c:txPr>
        <c:crossAx val="74622848"/>
        <c:crosses val="autoZero"/>
        <c:auto val="1"/>
        <c:lblAlgn val="ctr"/>
        <c:lblOffset val="100"/>
        <c:noMultiLvlLbl val="0"/>
      </c:catAx>
      <c:valAx>
        <c:axId val="746228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62131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3</c:v>
                </c:pt>
                <c:pt idx="4">
                  <c:v>0</c:v>
                </c:pt>
                <c:pt idx="5">
                  <c:v>0</c:v>
                </c:pt>
                <c:pt idx="6">
                  <c:v>4</c:v>
                </c:pt>
                <c:pt idx="7">
                  <c:v>0</c:v>
                </c:pt>
                <c:pt idx="8">
                  <c:v>3</c:v>
                </c:pt>
                <c:pt idx="9">
                  <c:v>0</c:v>
                </c:pt>
                <c:pt idx="10">
                  <c:v>0</c:v>
                </c:pt>
                <c:pt idx="11">
                  <c:v>0</c:v>
                </c:pt>
                <c:pt idx="12">
                  <c:v>0</c:v>
                </c:pt>
                <c:pt idx="13">
                  <c:v>11</c:v>
                </c:pt>
                <c:pt idx="14">
                  <c:v>0</c:v>
                </c:pt>
                <c:pt idx="15">
                  <c:v>0</c:v>
                </c:pt>
                <c:pt idx="16">
                  <c:v>0</c:v>
                </c:pt>
              </c:numCache>
            </c:numRef>
          </c:val>
        </c:ser>
        <c:dLbls>
          <c:showLegendKey val="0"/>
          <c:showVal val="0"/>
          <c:showCatName val="0"/>
          <c:showSerName val="0"/>
          <c:showPercent val="0"/>
          <c:showBubbleSize val="0"/>
        </c:dLbls>
        <c:gapWidth val="150"/>
        <c:shape val="box"/>
        <c:axId val="74637312"/>
        <c:axId val="74638848"/>
        <c:axId val="0"/>
      </c:bar3DChart>
      <c:catAx>
        <c:axId val="74637312"/>
        <c:scaling>
          <c:orientation val="minMax"/>
        </c:scaling>
        <c:delete val="0"/>
        <c:axPos val="b"/>
        <c:numFmt formatCode="General" sourceLinked="0"/>
        <c:majorTickMark val="none"/>
        <c:minorTickMark val="none"/>
        <c:tickLblPos val="nextTo"/>
        <c:txPr>
          <a:bodyPr/>
          <a:lstStyle/>
          <a:p>
            <a:pPr>
              <a:defRPr lang="es-HN"/>
            </a:pPr>
            <a:endParaRPr lang="es-HN"/>
          </a:p>
        </c:txPr>
        <c:crossAx val="74638848"/>
        <c:crosses val="autoZero"/>
        <c:auto val="1"/>
        <c:lblAlgn val="ctr"/>
        <c:lblOffset val="100"/>
        <c:noMultiLvlLbl val="0"/>
      </c:catAx>
      <c:valAx>
        <c:axId val="746388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63731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3062</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52" dataDxfId="51">
  <autoFilter ref="B3:C13"/>
  <tableColumns count="2">
    <tableColumn id="1" name="Descripción" dataDxfId="50"/>
    <tableColumn id="2" name="Monto" dataDxfId="49"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8" dataDxfId="47">
  <autoFilter ref="B39:D57"/>
  <tableColumns count="3">
    <tableColumn id="1" name="Descripción" dataDxfId="46"/>
    <tableColumn id="2" name="Cantidad" dataDxfId="45" dataCellStyle="Millares"/>
    <tableColumn id="3" name="Montos" dataDxfId="44">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3" dataDxfId="42">
  <autoFilter ref="B68:D80"/>
  <tableColumns count="3">
    <tableColumn id="1" name="Descripción" dataDxfId="41"/>
    <tableColumn id="2" name="Cantidad" dataDxfId="40" dataCellStyle="Millares"/>
    <tableColumn id="3" name="Montos" dataDxfId="39">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8">
  <autoFilter ref="B85:D103"/>
  <tableColumns count="3">
    <tableColumn id="1" name="Descripción " dataDxfId="37"/>
    <tableColumn id="2" name="Cantidad" dataDxfId="36" dataCellStyle="Millares"/>
    <tableColumn id="3" name="Montos" dataDxfId="35">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4" tableBorderDxfId="33">
  <autoFilter ref="H3:I14"/>
  <tableColumns count="2">
    <tableColumn id="1" name="Dimensión" dataDxfId="32"/>
    <tableColumn id="2" name="Monto" dataDxfId="31"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30" tableBorderDxfId="29">
  <autoFilter ref="H17:I25"/>
  <tableColumns count="2">
    <tableColumn id="1" name="Dimensión" dataDxfId="28"/>
    <tableColumn id="2" name="Monto" dataDxfId="27"/>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6" headerRowBorderDxfId="25" tableBorderDxfId="24">
  <autoFilter ref="E7:F11"/>
  <tableColumns count="2">
    <tableColumn id="1" name="Presupuesto" dataDxfId="23"/>
    <tableColumn id="2" name=" Monto " dataDxfId="22">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09"/>
      <c r="U2" s="709"/>
      <c r="V2" s="709"/>
      <c r="W2" s="709"/>
      <c r="X2" s="709"/>
      <c r="Y2" s="709"/>
      <c r="Z2" s="709"/>
      <c r="AA2" s="709"/>
      <c r="AB2" s="709"/>
      <c r="AC2" s="709" t="s">
        <v>25</v>
      </c>
      <c r="AD2" s="709"/>
      <c r="AE2" s="709"/>
      <c r="AF2" s="709"/>
      <c r="AG2" s="709"/>
      <c r="AH2" s="709"/>
      <c r="AI2" s="709"/>
      <c r="AJ2" s="709"/>
    </row>
    <row r="3" spans="2:36" ht="16.5" customHeight="1" x14ac:dyDescent="0.25">
      <c r="B3" s="33" t="s">
        <v>7</v>
      </c>
      <c r="C3" s="33"/>
      <c r="D3" s="33"/>
      <c r="E3" s="33"/>
      <c r="F3" s="33"/>
      <c r="G3" s="33"/>
      <c r="H3" s="33"/>
      <c r="I3" s="33"/>
      <c r="J3" s="33"/>
      <c r="K3" s="33"/>
      <c r="L3" s="33"/>
      <c r="M3" s="33"/>
      <c r="N3" s="33"/>
      <c r="O3" s="33"/>
      <c r="P3" s="33"/>
      <c r="Q3" s="33"/>
      <c r="R3" s="33"/>
      <c r="S3" s="33"/>
      <c r="T3" s="709"/>
      <c r="U3" s="709"/>
      <c r="V3" s="709"/>
      <c r="W3" s="709"/>
      <c r="X3" s="709"/>
      <c r="Y3" s="709"/>
      <c r="Z3" s="709"/>
      <c r="AA3" s="709"/>
      <c r="AB3" s="709"/>
      <c r="AC3" s="709" t="s">
        <v>7</v>
      </c>
      <c r="AD3" s="709"/>
      <c r="AE3" s="709"/>
      <c r="AF3" s="709"/>
      <c r="AG3" s="709"/>
      <c r="AH3" s="709"/>
      <c r="AI3" s="709"/>
      <c r="AJ3" s="709"/>
    </row>
    <row r="4" spans="2:36" ht="12.75" customHeight="1" x14ac:dyDescent="0.25">
      <c r="B4" s="33" t="s">
        <v>36</v>
      </c>
      <c r="C4" s="33"/>
      <c r="D4" s="33"/>
      <c r="E4" s="33"/>
      <c r="F4" s="33"/>
      <c r="G4" s="33"/>
      <c r="H4" s="33"/>
      <c r="I4" s="33"/>
      <c r="J4" s="33"/>
      <c r="K4" s="33"/>
      <c r="L4" s="33"/>
      <c r="M4" s="33"/>
      <c r="N4" s="33"/>
      <c r="O4" s="33"/>
      <c r="P4" s="33"/>
      <c r="Q4" s="33"/>
      <c r="R4" s="33"/>
      <c r="S4" s="33"/>
      <c r="T4" s="709"/>
      <c r="U4" s="709"/>
      <c r="V4" s="709"/>
      <c r="W4" s="709"/>
      <c r="X4" s="709"/>
      <c r="Y4" s="709"/>
      <c r="Z4" s="709"/>
      <c r="AA4" s="709"/>
      <c r="AB4" s="709"/>
      <c r="AC4" s="709" t="s">
        <v>36</v>
      </c>
      <c r="AD4" s="709"/>
      <c r="AE4" s="709"/>
      <c r="AF4" s="709"/>
      <c r="AG4" s="709"/>
      <c r="AH4" s="709"/>
      <c r="AI4" s="709"/>
      <c r="AJ4" s="709"/>
    </row>
    <row r="5" spans="2:36" ht="15.75" x14ac:dyDescent="0.25">
      <c r="B5" s="2"/>
      <c r="C5" s="2"/>
      <c r="D5" s="2"/>
    </row>
    <row r="6" spans="2:36" ht="16.5" thickBot="1" x14ac:dyDescent="0.3">
      <c r="B6" s="2"/>
      <c r="C6" s="2"/>
      <c r="D6" s="2"/>
    </row>
    <row r="7" spans="2:36" ht="75.75" customHeight="1" x14ac:dyDescent="0.25">
      <c r="B7" s="704" t="s">
        <v>20</v>
      </c>
      <c r="C7" s="704" t="s">
        <v>38</v>
      </c>
      <c r="D7" s="704" t="s">
        <v>39</v>
      </c>
      <c r="E7" s="706" t="s">
        <v>40</v>
      </c>
      <c r="F7" s="704" t="s">
        <v>37</v>
      </c>
      <c r="G7" s="706" t="s">
        <v>9</v>
      </c>
      <c r="H7" s="708" t="s">
        <v>0</v>
      </c>
      <c r="I7" s="708" t="s">
        <v>8</v>
      </c>
      <c r="J7" s="708" t="s">
        <v>16</v>
      </c>
      <c r="K7" s="708"/>
      <c r="L7" s="708" t="s">
        <v>13</v>
      </c>
      <c r="M7" s="708"/>
      <c r="N7" s="708"/>
      <c r="O7" s="708"/>
      <c r="P7" s="708"/>
      <c r="Q7" s="708"/>
      <c r="R7" s="708"/>
      <c r="S7" s="708"/>
      <c r="T7" s="704" t="s">
        <v>14</v>
      </c>
      <c r="U7" s="708" t="s">
        <v>18</v>
      </c>
      <c r="V7" s="708" t="s">
        <v>26</v>
      </c>
      <c r="W7" s="708"/>
      <c r="X7" s="708" t="s">
        <v>15</v>
      </c>
      <c r="Y7" s="708" t="s">
        <v>17</v>
      </c>
      <c r="Z7" s="708"/>
      <c r="AA7" s="708" t="s">
        <v>22</v>
      </c>
      <c r="AB7" s="708" t="s">
        <v>32</v>
      </c>
      <c r="AC7" s="710" t="s">
        <v>31</v>
      </c>
      <c r="AD7" s="710"/>
      <c r="AE7" s="710"/>
      <c r="AF7" s="710"/>
      <c r="AG7" s="708" t="s">
        <v>28</v>
      </c>
      <c r="AH7" s="708" t="s">
        <v>29</v>
      </c>
      <c r="AI7" s="708" t="s">
        <v>1</v>
      </c>
      <c r="AJ7" s="708" t="s">
        <v>2</v>
      </c>
    </row>
    <row r="8" spans="2:36" ht="15.75" customHeight="1" x14ac:dyDescent="0.25">
      <c r="B8" s="705"/>
      <c r="C8" s="705"/>
      <c r="D8" s="705"/>
      <c r="E8" s="707"/>
      <c r="F8" s="705"/>
      <c r="G8" s="707"/>
      <c r="H8" s="703"/>
      <c r="I8" s="703"/>
      <c r="J8" s="703" t="s">
        <v>33</v>
      </c>
      <c r="K8" s="703" t="s">
        <v>19</v>
      </c>
      <c r="L8" s="711" t="s">
        <v>3</v>
      </c>
      <c r="M8" s="711"/>
      <c r="N8" s="711" t="s">
        <v>4</v>
      </c>
      <c r="O8" s="711"/>
      <c r="P8" s="711" t="s">
        <v>5</v>
      </c>
      <c r="Q8" s="711"/>
      <c r="R8" s="711" t="s">
        <v>6</v>
      </c>
      <c r="S8" s="711"/>
      <c r="T8" s="705"/>
      <c r="U8" s="703"/>
      <c r="V8" s="703" t="s">
        <v>23</v>
      </c>
      <c r="W8" s="703" t="s">
        <v>21</v>
      </c>
      <c r="X8" s="703"/>
      <c r="Y8" s="703" t="s">
        <v>23</v>
      </c>
      <c r="Z8" s="703" t="s">
        <v>21</v>
      </c>
      <c r="AA8" s="703"/>
      <c r="AB8" s="703"/>
      <c r="AC8" s="14" t="s">
        <v>3</v>
      </c>
      <c r="AD8" s="14" t="s">
        <v>4</v>
      </c>
      <c r="AE8" s="14" t="s">
        <v>5</v>
      </c>
      <c r="AF8" s="14" t="s">
        <v>6</v>
      </c>
      <c r="AG8" s="703"/>
      <c r="AH8" s="703"/>
      <c r="AI8" s="703"/>
      <c r="AJ8" s="703"/>
    </row>
    <row r="9" spans="2:36" ht="78.75" x14ac:dyDescent="0.25">
      <c r="B9" s="705"/>
      <c r="C9" s="705"/>
      <c r="D9" s="705"/>
      <c r="E9" s="707"/>
      <c r="F9" s="705"/>
      <c r="G9" s="707"/>
      <c r="H9" s="703"/>
      <c r="I9" s="703"/>
      <c r="J9" s="703"/>
      <c r="K9" s="703"/>
      <c r="L9" s="32" t="s">
        <v>11</v>
      </c>
      <c r="M9" s="32" t="s">
        <v>12</v>
      </c>
      <c r="N9" s="32" t="s">
        <v>11</v>
      </c>
      <c r="O9" s="32" t="s">
        <v>12</v>
      </c>
      <c r="P9" s="32" t="s">
        <v>11</v>
      </c>
      <c r="Q9" s="32" t="s">
        <v>12</v>
      </c>
      <c r="R9" s="32" t="s">
        <v>11</v>
      </c>
      <c r="S9" s="32" t="s">
        <v>12</v>
      </c>
      <c r="T9" s="705"/>
      <c r="U9" s="703"/>
      <c r="V9" s="703"/>
      <c r="W9" s="703"/>
      <c r="X9" s="703"/>
      <c r="Y9" s="703"/>
      <c r="Z9" s="703"/>
      <c r="AA9" s="703"/>
      <c r="AB9" s="703"/>
      <c r="AC9" s="14" t="s">
        <v>24</v>
      </c>
      <c r="AD9" s="14" t="s">
        <v>24</v>
      </c>
      <c r="AE9" s="14" t="s">
        <v>24</v>
      </c>
      <c r="AF9" s="14" t="s">
        <v>24</v>
      </c>
      <c r="AG9" s="703"/>
      <c r="AH9" s="703"/>
      <c r="AI9" s="703"/>
      <c r="AJ9" s="703"/>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01" t="s">
        <v>10</v>
      </c>
      <c r="K31" s="702"/>
      <c r="L31" s="699"/>
      <c r="M31" s="700"/>
      <c r="N31" s="699"/>
      <c r="O31" s="700"/>
      <c r="P31" s="699"/>
      <c r="Q31" s="700"/>
      <c r="R31" s="699"/>
      <c r="S31" s="70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
  <sheetViews>
    <sheetView showGridLines="0" topLeftCell="A77" zoomScale="85" zoomScaleNormal="85" zoomScaleSheetLayoutView="80" workbookViewId="0">
      <selection activeCell="F99" sqref="F99"/>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388</v>
      </c>
      <c r="D5" s="198">
        <f>SUMIF(C:C,$C$10,D:D)</f>
        <v>3812137.07</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2">
        <f>SUM(F17:F19)</f>
        <v>248000</v>
      </c>
      <c r="F10" s="70"/>
      <c r="G10" s="79"/>
      <c r="H10" s="70"/>
      <c r="I10" s="70"/>
    </row>
    <row r="11" spans="1:555" x14ac:dyDescent="0.25">
      <c r="C11" s="70"/>
      <c r="D11" s="31"/>
      <c r="E11" s="93"/>
      <c r="F11" s="93"/>
      <c r="G11" s="93"/>
      <c r="H11" s="76"/>
      <c r="I11" s="76"/>
      <c r="J11" s="76"/>
      <c r="K11" s="112"/>
    </row>
    <row r="12" spans="1:555" ht="15.75" x14ac:dyDescent="0.25">
      <c r="B12" s="93"/>
      <c r="C12" s="301" t="s">
        <v>391</v>
      </c>
      <c r="D12" s="368" t="s">
        <v>1729</v>
      </c>
      <c r="E12" s="93"/>
      <c r="F12" s="93"/>
      <c r="G12" s="93"/>
      <c r="H12" s="76"/>
      <c r="I12" s="76"/>
      <c r="J12" s="76"/>
      <c r="K12" s="112"/>
    </row>
    <row r="13" spans="1:555" ht="18.75" x14ac:dyDescent="0.25">
      <c r="B13" s="93"/>
      <c r="C13" s="210"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Gestionar la ampliaciòn del espacio fìsico del area Cultura Fìsica.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ht="15.75" thickBot="1" x14ac:dyDescent="0.3">
      <c r="C17" s="141" t="s">
        <v>1812</v>
      </c>
      <c r="D17" s="158">
        <v>1</v>
      </c>
      <c r="E17" s="115">
        <v>200000</v>
      </c>
      <c r="F17" s="97">
        <f t="shared" ref="F17" si="0">D17*E17</f>
        <v>200000</v>
      </c>
      <c r="G17" s="161" t="s">
        <v>1691</v>
      </c>
      <c r="H17" s="142" t="s">
        <v>976</v>
      </c>
      <c r="I17" s="130" t="str">
        <f>VLOOKUP(H17,Presupuesto!$B$11:$C$565,2,0)</f>
        <v>EDIFICIOS Y LOCALES</v>
      </c>
      <c r="J17" s="218" t="s">
        <v>1363</v>
      </c>
      <c r="K17" s="98" t="s">
        <v>393</v>
      </c>
      <c r="L17" s="98" t="s">
        <v>1365</v>
      </c>
    </row>
    <row r="18" spans="3:12" s="465" customFormat="1" x14ac:dyDescent="0.25">
      <c r="C18" s="141" t="s">
        <v>2315</v>
      </c>
      <c r="D18" s="158">
        <v>100</v>
      </c>
      <c r="E18" s="115">
        <v>200</v>
      </c>
      <c r="F18" s="97">
        <f t="shared" ref="F18" si="1">D18*E18</f>
        <v>20000</v>
      </c>
      <c r="G18" s="161" t="s">
        <v>128</v>
      </c>
      <c r="H18" s="142" t="s">
        <v>918</v>
      </c>
      <c r="I18" s="130" t="str">
        <f>VLOOKUP(H18,Presupuesto!$B$11:$C$565,2,0)</f>
        <v>CEMENTO CAL Y YESO</v>
      </c>
      <c r="J18" s="218" t="s">
        <v>1363</v>
      </c>
      <c r="K18" s="98" t="s">
        <v>393</v>
      </c>
      <c r="L18" s="98" t="s">
        <v>1365</v>
      </c>
    </row>
    <row r="19" spans="3:12" x14ac:dyDescent="0.25">
      <c r="C19" s="141" t="s">
        <v>2316</v>
      </c>
      <c r="D19" s="158">
        <v>140</v>
      </c>
      <c r="E19" s="123">
        <v>200</v>
      </c>
      <c r="F19" s="97">
        <f t="shared" ref="F19" si="2">D19*E19</f>
        <v>28000</v>
      </c>
      <c r="G19" s="161" t="s">
        <v>128</v>
      </c>
      <c r="H19" s="142" t="s">
        <v>896</v>
      </c>
      <c r="I19" s="130" t="str">
        <f>VLOOKUP(H19,Presupuesto!$B$11:$C$565,2,0)</f>
        <v>PRODUCTOS FERROSOS</v>
      </c>
      <c r="J19" s="218" t="s">
        <v>1363</v>
      </c>
      <c r="K19" s="98" t="s">
        <v>393</v>
      </c>
      <c r="L19" s="98" t="s">
        <v>1365</v>
      </c>
    </row>
    <row r="20" spans="3:12" ht="15.75" thickBot="1" x14ac:dyDescent="0.3"/>
    <row r="21" spans="3:12" ht="15.75" thickBot="1" x14ac:dyDescent="0.3">
      <c r="C21" s="157" t="s">
        <v>53</v>
      </c>
      <c r="D21" s="372">
        <f>SUM(F28:F36)</f>
        <v>1796187.0699999998</v>
      </c>
      <c r="F21" s="70"/>
      <c r="G21" s="79"/>
      <c r="H21" s="70"/>
      <c r="I21" s="70"/>
    </row>
    <row r="22" spans="3:12" x14ac:dyDescent="0.25">
      <c r="C22" s="70"/>
      <c r="D22" s="31"/>
      <c r="E22" s="93"/>
      <c r="F22" s="93"/>
      <c r="G22" s="93"/>
      <c r="H22" s="76"/>
      <c r="I22" s="76"/>
      <c r="J22" s="76"/>
      <c r="K22" s="112"/>
    </row>
    <row r="23" spans="3:12" ht="15.75" x14ac:dyDescent="0.25">
      <c r="C23" s="301" t="s">
        <v>391</v>
      </c>
      <c r="D23" s="368" t="s">
        <v>1954</v>
      </c>
      <c r="E23" s="93"/>
      <c r="F23" s="93"/>
      <c r="G23" s="93"/>
      <c r="H23" s="76"/>
      <c r="I23" s="76"/>
      <c r="J23" s="76"/>
      <c r="K23" s="112"/>
    </row>
    <row r="24" spans="3:12" ht="18.75" x14ac:dyDescent="0.25">
      <c r="C24" s="210"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Posgrado'!$F:$G,2,FALSE),IFERROR(VLOOKUP(D23,'17. Gestión TIC'!$F:$G,2,FALSE),IFERROR(VLOOKUP(D23,'16. Desa. del Sistema Educ.Sup.'!$F:$G,2,FALSE),IFERROR(VLOOKUP(D23,'8. Cultura de Inno. Insti...'!$F:$G,2,FALSE),VLOOKUP(D23,'7. Lo Esencial de la Reforma U.'!$F:$G,2,0)))))))))))))))))</f>
        <v xml:space="preserve">Gestionar el espacio físico para aula audiovisual del Depto de Ciencias Economicas </v>
      </c>
      <c r="D24" s="31"/>
      <c r="E24" s="93"/>
      <c r="F24" s="93"/>
      <c r="G24" s="93"/>
      <c r="H24" s="76"/>
      <c r="I24" s="76"/>
      <c r="J24" s="76"/>
      <c r="K24" s="112"/>
    </row>
    <row r="25" spans="3:12" x14ac:dyDescent="0.25">
      <c r="E25" s="93"/>
      <c r="F25" s="93"/>
      <c r="G25" s="93"/>
      <c r="H25" s="76"/>
      <c r="I25" s="76"/>
      <c r="J25" s="76"/>
      <c r="K25" s="112"/>
    </row>
    <row r="26" spans="3:12" ht="15.75" thickBot="1" x14ac:dyDescent="0.3">
      <c r="F26" s="93"/>
      <c r="G26" s="76"/>
      <c r="H26" s="76"/>
      <c r="I26" s="76"/>
    </row>
    <row r="27" spans="3:12" ht="30.75" thickBot="1" x14ac:dyDescent="0.3">
      <c r="C27" s="129" t="s">
        <v>44</v>
      </c>
      <c r="D27" s="134" t="s">
        <v>55</v>
      </c>
      <c r="E27" s="136" t="s">
        <v>57</v>
      </c>
      <c r="F27" s="135" t="s">
        <v>27</v>
      </c>
      <c r="G27" s="133" t="s">
        <v>130</v>
      </c>
      <c r="H27" s="136" t="s">
        <v>46</v>
      </c>
      <c r="I27" s="133" t="s">
        <v>131</v>
      </c>
      <c r="J27" s="133" t="s">
        <v>409</v>
      </c>
      <c r="K27" s="133" t="s">
        <v>410</v>
      </c>
      <c r="L27" s="133" t="s">
        <v>120</v>
      </c>
    </row>
    <row r="28" spans="3:12" x14ac:dyDescent="0.25">
      <c r="C28" s="141" t="s">
        <v>1958</v>
      </c>
      <c r="D28" s="158">
        <v>1</v>
      </c>
      <c r="E28" s="123">
        <v>521785.72</v>
      </c>
      <c r="F28" s="97">
        <f t="shared" ref="F28:F36" si="3">D28*E28</f>
        <v>521785.72</v>
      </c>
      <c r="G28" s="161" t="s">
        <v>1691</v>
      </c>
      <c r="H28" s="142" t="s">
        <v>976</v>
      </c>
      <c r="I28" s="130" t="str">
        <f>VLOOKUP(H28,Presupuesto!$B$11:$C$565,2,0)</f>
        <v>EDIFICIOS Y LOCALES</v>
      </c>
      <c r="J28" s="98" t="s">
        <v>1363</v>
      </c>
      <c r="K28" s="98" t="s">
        <v>396</v>
      </c>
      <c r="L28" s="98"/>
    </row>
    <row r="29" spans="3:12" x14ac:dyDescent="0.25">
      <c r="C29" s="141" t="s">
        <v>1959</v>
      </c>
      <c r="D29" s="158">
        <v>1</v>
      </c>
      <c r="E29" s="123">
        <f>136335.62-40200</f>
        <v>96135.62</v>
      </c>
      <c r="F29" s="97">
        <f t="shared" si="3"/>
        <v>96135.62</v>
      </c>
      <c r="G29" s="161" t="s">
        <v>1691</v>
      </c>
      <c r="H29" s="142" t="s">
        <v>976</v>
      </c>
      <c r="I29" s="130" t="str">
        <f>VLOOKUP(H29,Presupuesto!$B$11:$C$565,2,0)</f>
        <v>EDIFICIOS Y LOCALES</v>
      </c>
      <c r="J29" s="98" t="s">
        <v>1363</v>
      </c>
      <c r="K29" s="98" t="s">
        <v>396</v>
      </c>
      <c r="L29" s="98"/>
    </row>
    <row r="30" spans="3:12" x14ac:dyDescent="0.25">
      <c r="C30" s="141" t="s">
        <v>1960</v>
      </c>
      <c r="D30" s="158">
        <v>1</v>
      </c>
      <c r="E30" s="123">
        <v>128428.56</v>
      </c>
      <c r="F30" s="97">
        <f t="shared" si="3"/>
        <v>128428.56</v>
      </c>
      <c r="G30" s="161" t="s">
        <v>1691</v>
      </c>
      <c r="H30" s="142" t="s">
        <v>976</v>
      </c>
      <c r="I30" s="130" t="str">
        <f>VLOOKUP(H30,Presupuesto!$B$11:$C$565,2,0)</f>
        <v>EDIFICIOS Y LOCALES</v>
      </c>
      <c r="J30" s="98" t="s">
        <v>1363</v>
      </c>
      <c r="K30" s="98" t="s">
        <v>396</v>
      </c>
      <c r="L30" s="98"/>
    </row>
    <row r="31" spans="3:12" x14ac:dyDescent="0.25">
      <c r="C31" s="141" t="s">
        <v>1961</v>
      </c>
      <c r="D31" s="158">
        <v>1</v>
      </c>
      <c r="E31" s="123">
        <v>367890.97</v>
      </c>
      <c r="F31" s="97">
        <f t="shared" si="3"/>
        <v>367890.97</v>
      </c>
      <c r="G31" s="161" t="s">
        <v>1691</v>
      </c>
      <c r="H31" s="142" t="s">
        <v>976</v>
      </c>
      <c r="I31" s="130" t="str">
        <f>VLOOKUP(H31,Presupuesto!$B$11:$C$565,2,0)</f>
        <v>EDIFICIOS Y LOCALES</v>
      </c>
      <c r="J31" s="98" t="s">
        <v>1363</v>
      </c>
      <c r="K31" s="98" t="s">
        <v>396</v>
      </c>
      <c r="L31" s="98"/>
    </row>
    <row r="32" spans="3:12" x14ac:dyDescent="0.25">
      <c r="C32" s="141" t="s">
        <v>1962</v>
      </c>
      <c r="D32" s="158">
        <v>1</v>
      </c>
      <c r="E32" s="123">
        <v>156444.06</v>
      </c>
      <c r="F32" s="97">
        <f t="shared" si="3"/>
        <v>156444.06</v>
      </c>
      <c r="G32" s="161" t="s">
        <v>1691</v>
      </c>
      <c r="H32" s="142" t="s">
        <v>976</v>
      </c>
      <c r="I32" s="130" t="str">
        <f>VLOOKUP(H32,Presupuesto!$B$11:$C$565,2,0)</f>
        <v>EDIFICIOS Y LOCALES</v>
      </c>
      <c r="J32" s="98" t="s">
        <v>1363</v>
      </c>
      <c r="K32" s="98" t="s">
        <v>396</v>
      </c>
      <c r="L32" s="98"/>
    </row>
    <row r="33" spans="3:12" x14ac:dyDescent="0.25">
      <c r="C33" s="141" t="s">
        <v>1963</v>
      </c>
      <c r="D33" s="158">
        <v>1</v>
      </c>
      <c r="E33" s="123">
        <v>136409.17000000001</v>
      </c>
      <c r="F33" s="97">
        <f t="shared" si="3"/>
        <v>136409.17000000001</v>
      </c>
      <c r="G33" s="161" t="s">
        <v>1691</v>
      </c>
      <c r="H33" s="142" t="s">
        <v>976</v>
      </c>
      <c r="I33" s="130" t="str">
        <f>VLOOKUP(H33,Presupuesto!$B$11:$C$565,2,0)</f>
        <v>EDIFICIOS Y LOCALES</v>
      </c>
      <c r="J33" s="98" t="s">
        <v>1363</v>
      </c>
      <c r="K33" s="98" t="s">
        <v>396</v>
      </c>
      <c r="L33" s="98"/>
    </row>
    <row r="34" spans="3:12" x14ac:dyDescent="0.25">
      <c r="C34" s="141" t="s">
        <v>1964</v>
      </c>
      <c r="D34" s="158">
        <v>1</v>
      </c>
      <c r="E34" s="123">
        <v>138827.46</v>
      </c>
      <c r="F34" s="97">
        <f t="shared" si="3"/>
        <v>138827.46</v>
      </c>
      <c r="G34" s="161" t="s">
        <v>1691</v>
      </c>
      <c r="H34" s="142" t="s">
        <v>976</v>
      </c>
      <c r="I34" s="130" t="str">
        <f>VLOOKUP(H34,Presupuesto!$B$11:$C$565,2,0)</f>
        <v>EDIFICIOS Y LOCALES</v>
      </c>
      <c r="J34" s="98" t="s">
        <v>1363</v>
      </c>
      <c r="K34" s="98" t="s">
        <v>396</v>
      </c>
      <c r="L34" s="98"/>
    </row>
    <row r="35" spans="3:12" x14ac:dyDescent="0.25">
      <c r="C35" s="141" t="s">
        <v>1965</v>
      </c>
      <c r="D35" s="158">
        <v>1</v>
      </c>
      <c r="E35" s="123">
        <v>190387.21</v>
      </c>
      <c r="F35" s="97">
        <f t="shared" si="3"/>
        <v>190387.21</v>
      </c>
      <c r="G35" s="161" t="s">
        <v>1691</v>
      </c>
      <c r="H35" s="142" t="s">
        <v>976</v>
      </c>
      <c r="I35" s="130" t="str">
        <f>VLOOKUP(H35,Presupuesto!$B$11:$C$565,2,0)</f>
        <v>EDIFICIOS Y LOCALES</v>
      </c>
      <c r="J35" s="98" t="s">
        <v>1363</v>
      </c>
      <c r="K35" s="98" t="s">
        <v>396</v>
      </c>
      <c r="L35" s="98"/>
    </row>
    <row r="36" spans="3:12" x14ac:dyDescent="0.25">
      <c r="C36" s="143" t="s">
        <v>1966</v>
      </c>
      <c r="D36" s="158">
        <v>1</v>
      </c>
      <c r="E36" s="118">
        <v>59878.3</v>
      </c>
      <c r="F36" s="97">
        <f t="shared" si="3"/>
        <v>59878.3</v>
      </c>
      <c r="G36" s="161" t="s">
        <v>1691</v>
      </c>
      <c r="H36" s="142" t="s">
        <v>976</v>
      </c>
      <c r="I36" s="130" t="str">
        <f>VLOOKUP(H36,Presupuesto!$B$11:$C$565,2,0)</f>
        <v>EDIFICIOS Y LOCALES</v>
      </c>
      <c r="J36" s="98" t="s">
        <v>1363</v>
      </c>
      <c r="K36" s="98" t="s">
        <v>396</v>
      </c>
      <c r="L36" s="98"/>
    </row>
    <row r="38" spans="3:12" ht="15.75" thickBot="1" x14ac:dyDescent="0.3"/>
    <row r="39" spans="3:12" ht="15.75" thickBot="1" x14ac:dyDescent="0.3">
      <c r="C39" s="157" t="s">
        <v>53</v>
      </c>
      <c r="D39" s="372">
        <f>SUM(F46:F46)</f>
        <v>0</v>
      </c>
      <c r="F39" s="70"/>
      <c r="G39" s="79"/>
      <c r="H39" s="70"/>
      <c r="I39" s="70"/>
    </row>
    <row r="40" spans="3:12" x14ac:dyDescent="0.25">
      <c r="C40" s="70"/>
      <c r="D40" s="31"/>
      <c r="E40" s="93"/>
      <c r="F40" s="93"/>
      <c r="G40" s="93"/>
      <c r="H40" s="76"/>
      <c r="I40" s="76"/>
      <c r="J40" s="76"/>
      <c r="K40" s="112"/>
    </row>
    <row r="41" spans="3:12" ht="15.75" x14ac:dyDescent="0.25">
      <c r="C41" s="301" t="s">
        <v>391</v>
      </c>
      <c r="D41" s="368"/>
      <c r="E41" s="93"/>
      <c r="F41" s="93"/>
      <c r="G41" s="93"/>
      <c r="H41" s="76"/>
      <c r="I41" s="76"/>
      <c r="J41" s="76"/>
      <c r="K41" s="112"/>
    </row>
    <row r="42" spans="3:12" ht="18.75" x14ac:dyDescent="0.25">
      <c r="C42" s="210" t="e">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Proceso...'!$F:$G,2,FALSE),IFERROR(VLOOKUP(D41,'12. Gestión del Talento Humano'!$F:$G,2,FALSE),IFERROR(VLOOKUP(D41,'14. Internacional... de la E.S.'!$F:$G,2,FALSE),IFERROR(VLOOKUP(D41,'10. Posgrado'!$F:$G,2,FALSE),IFERROR(VLOOKUP(D41,'17. Gestión TIC'!$F:$G,2,FALSE),IFERROR(VLOOKUP(D41,'16. Desa. del Sistema Educ.Sup.'!$F:$G,2,FALSE),IFERROR(VLOOKUP(D41,'8. Cultura de Inno. Insti...'!$F:$G,2,FALSE),VLOOKUP(D41,'7. Lo Esencial de la Reforma U.'!$F:$G,2,0)))))))))))))))))</f>
        <v>#N/A</v>
      </c>
      <c r="D42" s="31"/>
      <c r="E42" s="93"/>
      <c r="F42" s="93"/>
      <c r="G42" s="93"/>
      <c r="H42" s="76"/>
      <c r="I42" s="76"/>
      <c r="J42" s="76"/>
      <c r="K42" s="112"/>
    </row>
    <row r="43" spans="3:12" x14ac:dyDescent="0.25">
      <c r="E43" s="93"/>
      <c r="F43" s="93"/>
      <c r="G43" s="93"/>
      <c r="H43" s="76"/>
      <c r="I43" s="76"/>
      <c r="J43" s="76"/>
      <c r="K43" s="112"/>
    </row>
    <row r="44" spans="3:12" ht="15.75" thickBot="1" x14ac:dyDescent="0.3">
      <c r="F44" s="93"/>
      <c r="G44" s="76"/>
      <c r="H44" s="76"/>
      <c r="I44" s="76"/>
    </row>
    <row r="45" spans="3:12" ht="30.75" thickBot="1" x14ac:dyDescent="0.3">
      <c r="C45" s="129" t="s">
        <v>44</v>
      </c>
      <c r="D45" s="134" t="s">
        <v>55</v>
      </c>
      <c r="E45" s="136" t="s">
        <v>57</v>
      </c>
      <c r="F45" s="135" t="s">
        <v>27</v>
      </c>
      <c r="G45" s="133" t="s">
        <v>130</v>
      </c>
      <c r="H45" s="136" t="s">
        <v>46</v>
      </c>
      <c r="I45" s="133" t="s">
        <v>131</v>
      </c>
      <c r="J45" s="133" t="s">
        <v>409</v>
      </c>
      <c r="K45" s="133" t="s">
        <v>410</v>
      </c>
      <c r="L45" s="133" t="s">
        <v>120</v>
      </c>
    </row>
    <row r="46" spans="3:12" x14ac:dyDescent="0.25">
      <c r="C46" s="637"/>
      <c r="D46" s="638"/>
      <c r="E46" s="639"/>
      <c r="F46" s="97"/>
      <c r="G46" s="161"/>
      <c r="H46" s="142"/>
      <c r="I46" s="130"/>
      <c r="J46" s="218"/>
      <c r="K46" s="98"/>
      <c r="L46" s="98"/>
    </row>
    <row r="47" spans="3:12" x14ac:dyDescent="0.25">
      <c r="F47" s="90"/>
      <c r="G47" s="89"/>
      <c r="H47" s="90"/>
      <c r="I47" s="90"/>
    </row>
    <row r="48" spans="3:12" ht="15.75" thickBot="1" x14ac:dyDescent="0.3"/>
    <row r="49" spans="3:12" ht="15.75" thickBot="1" x14ac:dyDescent="0.3">
      <c r="C49" s="157" t="s">
        <v>53</v>
      </c>
      <c r="D49" s="372">
        <f>SUM(F56:F76)</f>
        <v>1767950</v>
      </c>
      <c r="F49" s="70"/>
      <c r="G49" s="79"/>
      <c r="H49" s="70"/>
      <c r="I49" s="70"/>
    </row>
    <row r="50" spans="3:12" x14ac:dyDescent="0.25">
      <c r="C50" s="70"/>
      <c r="D50" s="31"/>
      <c r="E50" s="93"/>
      <c r="F50" s="93"/>
      <c r="G50" s="93"/>
      <c r="H50" s="76"/>
      <c r="I50" s="76"/>
      <c r="J50" s="76"/>
      <c r="K50" s="112"/>
    </row>
    <row r="51" spans="3:12" ht="15.75" x14ac:dyDescent="0.25">
      <c r="C51" s="301" t="s">
        <v>391</v>
      </c>
      <c r="D51" s="368" t="s">
        <v>2304</v>
      </c>
      <c r="E51" s="93"/>
      <c r="F51" s="93"/>
      <c r="G51" s="93"/>
      <c r="H51" s="76"/>
      <c r="I51" s="76"/>
      <c r="J51" s="76"/>
      <c r="K51" s="112"/>
    </row>
    <row r="52" spans="3:12" ht="18.75" x14ac:dyDescent="0.25">
      <c r="C52" s="210"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Gestionar Culminación de la construcción el edificio de aulas N 1</v>
      </c>
      <c r="D52" s="31"/>
      <c r="E52" s="93"/>
      <c r="F52" s="93"/>
      <c r="G52" s="93"/>
      <c r="H52" s="76"/>
      <c r="I52" s="76"/>
      <c r="J52" s="76"/>
      <c r="K52" s="112"/>
    </row>
    <row r="53" spans="3:12" x14ac:dyDescent="0.25">
      <c r="E53" s="93"/>
      <c r="F53" s="93"/>
      <c r="G53" s="93"/>
      <c r="H53" s="76"/>
      <c r="I53" s="76"/>
      <c r="J53" s="76"/>
      <c r="K53" s="112"/>
    </row>
    <row r="54" spans="3:12" ht="15.75" thickBot="1" x14ac:dyDescent="0.3">
      <c r="F54" s="93"/>
      <c r="G54" s="76"/>
      <c r="H54" s="76"/>
      <c r="I54" s="76"/>
    </row>
    <row r="55" spans="3:12" ht="30.75" thickBot="1" x14ac:dyDescent="0.3">
      <c r="C55" s="129" t="s">
        <v>44</v>
      </c>
      <c r="D55" s="134" t="s">
        <v>55</v>
      </c>
      <c r="E55" s="136" t="s">
        <v>57</v>
      </c>
      <c r="F55" s="135" t="s">
        <v>27</v>
      </c>
      <c r="G55" s="133" t="s">
        <v>130</v>
      </c>
      <c r="H55" s="136" t="s">
        <v>46</v>
      </c>
      <c r="I55" s="133" t="s">
        <v>131</v>
      </c>
      <c r="J55" s="133" t="s">
        <v>409</v>
      </c>
      <c r="K55" s="133" t="s">
        <v>410</v>
      </c>
      <c r="L55" s="133" t="s">
        <v>120</v>
      </c>
    </row>
    <row r="56" spans="3:12" x14ac:dyDescent="0.25">
      <c r="C56" s="640" t="s">
        <v>2317</v>
      </c>
      <c r="D56" s="641"/>
      <c r="E56" s="642"/>
      <c r="F56" s="97">
        <f t="shared" ref="F56:F76" si="4">D56*E56</f>
        <v>0</v>
      </c>
      <c r="G56" s="161"/>
      <c r="H56" s="142"/>
      <c r="I56" s="130" t="e">
        <f>VLOOKUP(H56,Presupuesto!$B$11:$C$565,2,0)</f>
        <v>#N/A</v>
      </c>
      <c r="J56" s="218" t="s">
        <v>1363</v>
      </c>
      <c r="K56" s="98" t="s">
        <v>393</v>
      </c>
      <c r="L56" s="98"/>
    </row>
    <row r="57" spans="3:12" x14ac:dyDescent="0.25">
      <c r="C57" s="643" t="s">
        <v>2318</v>
      </c>
      <c r="D57" s="644">
        <v>3</v>
      </c>
      <c r="E57" s="645">
        <v>4000</v>
      </c>
      <c r="F57" s="97">
        <f t="shared" si="4"/>
        <v>12000</v>
      </c>
      <c r="G57" s="161" t="s">
        <v>1691</v>
      </c>
      <c r="H57" s="142" t="s">
        <v>976</v>
      </c>
      <c r="I57" s="130" t="str">
        <f>VLOOKUP(H57,Presupuesto!$B$11:$C$565,2,0)</f>
        <v>EDIFICIOS Y LOCALES</v>
      </c>
      <c r="J57" s="98" t="str">
        <f>$J$56</f>
        <v>Gestión Administrativa y  financiera en apoyo al Desarrollo Académico</v>
      </c>
      <c r="K57" s="98" t="s">
        <v>411</v>
      </c>
      <c r="L57" s="98"/>
    </row>
    <row r="58" spans="3:12" x14ac:dyDescent="0.25">
      <c r="C58" s="643" t="s">
        <v>2319</v>
      </c>
      <c r="D58" s="644">
        <v>29.4</v>
      </c>
      <c r="E58" s="645">
        <v>2000</v>
      </c>
      <c r="F58" s="97">
        <f t="shared" si="4"/>
        <v>58800</v>
      </c>
      <c r="G58" s="161" t="s">
        <v>1691</v>
      </c>
      <c r="H58" s="142" t="s">
        <v>976</v>
      </c>
      <c r="I58" s="130" t="str">
        <f>VLOOKUP(H58,Presupuesto!$B$11:$C$565,2,0)</f>
        <v>EDIFICIOS Y LOCALES</v>
      </c>
      <c r="J58" s="98" t="str">
        <f t="shared" ref="J58:J76" si="5">$J$56</f>
        <v>Gestión Administrativa y  financiera en apoyo al Desarrollo Académico</v>
      </c>
      <c r="K58" s="98" t="s">
        <v>411</v>
      </c>
      <c r="L58" s="98"/>
    </row>
    <row r="59" spans="3:12" x14ac:dyDescent="0.25">
      <c r="C59" s="643" t="s">
        <v>2320</v>
      </c>
      <c r="D59" s="644">
        <v>500</v>
      </c>
      <c r="E59" s="645">
        <v>300</v>
      </c>
      <c r="F59" s="97">
        <f t="shared" si="4"/>
        <v>150000</v>
      </c>
      <c r="G59" s="161" t="s">
        <v>1691</v>
      </c>
      <c r="H59" s="142" t="s">
        <v>976</v>
      </c>
      <c r="I59" s="130" t="str">
        <f>VLOOKUP(H59,Presupuesto!$B$11:$C$565,2,0)</f>
        <v>EDIFICIOS Y LOCALES</v>
      </c>
      <c r="J59" s="98" t="str">
        <f t="shared" si="5"/>
        <v>Gestión Administrativa y  financiera en apoyo al Desarrollo Académico</v>
      </c>
      <c r="K59" s="98" t="s">
        <v>411</v>
      </c>
      <c r="L59" s="98"/>
    </row>
    <row r="60" spans="3:12" x14ac:dyDescent="0.25">
      <c r="C60" s="643" t="s">
        <v>2321</v>
      </c>
      <c r="D60" s="644">
        <v>45</v>
      </c>
      <c r="E60" s="645">
        <v>500</v>
      </c>
      <c r="F60" s="97">
        <f t="shared" si="4"/>
        <v>22500</v>
      </c>
      <c r="G60" s="161" t="s">
        <v>1691</v>
      </c>
      <c r="H60" s="142" t="s">
        <v>976</v>
      </c>
      <c r="I60" s="130" t="str">
        <f>VLOOKUP(H60,Presupuesto!$B$11:$C$565,2,0)</f>
        <v>EDIFICIOS Y LOCALES</v>
      </c>
      <c r="J60" s="98" t="str">
        <f t="shared" si="5"/>
        <v>Gestión Administrativa y  financiera en apoyo al Desarrollo Académico</v>
      </c>
      <c r="K60" s="98" t="s">
        <v>411</v>
      </c>
      <c r="L60" s="98"/>
    </row>
    <row r="61" spans="3:12" x14ac:dyDescent="0.25">
      <c r="C61" s="643" t="s">
        <v>2322</v>
      </c>
      <c r="D61" s="644">
        <v>10</v>
      </c>
      <c r="E61" s="645">
        <v>500</v>
      </c>
      <c r="F61" s="97">
        <f t="shared" si="4"/>
        <v>5000</v>
      </c>
      <c r="G61" s="161" t="s">
        <v>1691</v>
      </c>
      <c r="H61" s="142" t="s">
        <v>976</v>
      </c>
      <c r="I61" s="130" t="str">
        <f>VLOOKUP(H61,Presupuesto!$B$11:$C$565,2,0)</f>
        <v>EDIFICIOS Y LOCALES</v>
      </c>
      <c r="J61" s="98" t="str">
        <f t="shared" si="5"/>
        <v>Gestión Administrativa y  financiera en apoyo al Desarrollo Académico</v>
      </c>
      <c r="K61" s="98" t="s">
        <v>400</v>
      </c>
      <c r="L61" s="98"/>
    </row>
    <row r="62" spans="3:12" x14ac:dyDescent="0.25">
      <c r="C62" s="643" t="s">
        <v>2323</v>
      </c>
      <c r="D62" s="644">
        <v>6000</v>
      </c>
      <c r="E62" s="645">
        <v>25</v>
      </c>
      <c r="F62" s="97">
        <f t="shared" si="4"/>
        <v>150000</v>
      </c>
      <c r="G62" s="161" t="s">
        <v>1691</v>
      </c>
      <c r="H62" s="142" t="s">
        <v>976</v>
      </c>
      <c r="I62" s="130" t="str">
        <f>VLOOKUP(H62,Presupuesto!$B$11:$C$565,2,0)</f>
        <v>EDIFICIOS Y LOCALES</v>
      </c>
      <c r="J62" s="98" t="str">
        <f t="shared" si="5"/>
        <v>Gestión Administrativa y  financiera en apoyo al Desarrollo Académico</v>
      </c>
      <c r="K62" s="98" t="s">
        <v>411</v>
      </c>
      <c r="L62" s="98"/>
    </row>
    <row r="63" spans="3:12" x14ac:dyDescent="0.25">
      <c r="C63" s="643" t="s">
        <v>2324</v>
      </c>
      <c r="D63" s="644">
        <v>6500</v>
      </c>
      <c r="E63" s="645">
        <v>60</v>
      </c>
      <c r="F63" s="97">
        <f t="shared" si="4"/>
        <v>390000</v>
      </c>
      <c r="G63" s="161" t="s">
        <v>1691</v>
      </c>
      <c r="H63" s="142" t="s">
        <v>976</v>
      </c>
      <c r="I63" s="130" t="str">
        <f>VLOOKUP(H63,Presupuesto!$B$11:$C$565,2,0)</f>
        <v>EDIFICIOS Y LOCALES</v>
      </c>
      <c r="J63" s="98" t="str">
        <f t="shared" si="5"/>
        <v>Gestión Administrativa y  financiera en apoyo al Desarrollo Académico</v>
      </c>
      <c r="K63" s="98" t="s">
        <v>411</v>
      </c>
      <c r="L63" s="98"/>
    </row>
    <row r="64" spans="3:12" x14ac:dyDescent="0.25">
      <c r="C64" s="643" t="s">
        <v>2325</v>
      </c>
      <c r="D64" s="644">
        <v>400</v>
      </c>
      <c r="E64" s="645">
        <v>600</v>
      </c>
      <c r="F64" s="97">
        <f t="shared" si="4"/>
        <v>240000</v>
      </c>
      <c r="G64" s="161" t="s">
        <v>1691</v>
      </c>
      <c r="H64" s="142" t="s">
        <v>976</v>
      </c>
      <c r="I64" s="130" t="str">
        <f>VLOOKUP(H64,Presupuesto!$B$11:$C$565,2,0)</f>
        <v>EDIFICIOS Y LOCALES</v>
      </c>
      <c r="J64" s="98" t="str">
        <f t="shared" si="5"/>
        <v>Gestión Administrativa y  financiera en apoyo al Desarrollo Académico</v>
      </c>
      <c r="K64" s="98" t="s">
        <v>411</v>
      </c>
      <c r="L64" s="98"/>
    </row>
    <row r="65" spans="3:12" x14ac:dyDescent="0.25">
      <c r="C65" s="643" t="s">
        <v>2326</v>
      </c>
      <c r="D65" s="644">
        <v>93</v>
      </c>
      <c r="E65" s="645">
        <v>100</v>
      </c>
      <c r="F65" s="97">
        <f t="shared" si="4"/>
        <v>9300</v>
      </c>
      <c r="G65" s="161" t="s">
        <v>1691</v>
      </c>
      <c r="H65" s="142" t="s">
        <v>976</v>
      </c>
      <c r="I65" s="130" t="str">
        <f>VLOOKUP(H65,Presupuesto!$B$11:$C$565,2,0)</f>
        <v>EDIFICIOS Y LOCALES</v>
      </c>
      <c r="J65" s="98" t="str">
        <f t="shared" si="5"/>
        <v>Gestión Administrativa y  financiera en apoyo al Desarrollo Académico</v>
      </c>
      <c r="K65" s="98" t="s">
        <v>411</v>
      </c>
      <c r="L65" s="98"/>
    </row>
    <row r="66" spans="3:12" x14ac:dyDescent="0.25">
      <c r="C66" s="643" t="s">
        <v>2327</v>
      </c>
      <c r="D66" s="644">
        <v>35</v>
      </c>
      <c r="E66" s="645">
        <v>20</v>
      </c>
      <c r="F66" s="97">
        <f t="shared" si="4"/>
        <v>700</v>
      </c>
      <c r="G66" s="161" t="s">
        <v>1691</v>
      </c>
      <c r="H66" s="142" t="s">
        <v>976</v>
      </c>
      <c r="I66" s="130" t="str">
        <f>VLOOKUP(H66,Presupuesto!$B$11:$C$565,2,0)</f>
        <v>EDIFICIOS Y LOCALES</v>
      </c>
      <c r="J66" s="98" t="str">
        <f t="shared" si="5"/>
        <v>Gestión Administrativa y  financiera en apoyo al Desarrollo Académico</v>
      </c>
      <c r="K66" s="98" t="s">
        <v>411</v>
      </c>
      <c r="L66" s="98"/>
    </row>
    <row r="67" spans="3:12" x14ac:dyDescent="0.25">
      <c r="C67" s="643" t="s">
        <v>2328</v>
      </c>
      <c r="D67" s="644">
        <v>100</v>
      </c>
      <c r="E67" s="645">
        <v>300</v>
      </c>
      <c r="F67" s="97">
        <f t="shared" si="4"/>
        <v>30000</v>
      </c>
      <c r="G67" s="161" t="s">
        <v>1691</v>
      </c>
      <c r="H67" s="142" t="s">
        <v>976</v>
      </c>
      <c r="I67" s="130" t="str">
        <f>VLOOKUP(H67,Presupuesto!$B$11:$C$565,2,0)</f>
        <v>EDIFICIOS Y LOCALES</v>
      </c>
      <c r="J67" s="98" t="str">
        <f t="shared" si="5"/>
        <v>Gestión Administrativa y  financiera en apoyo al Desarrollo Académico</v>
      </c>
      <c r="K67" s="98" t="s">
        <v>411</v>
      </c>
      <c r="L67" s="98"/>
    </row>
    <row r="68" spans="3:12" x14ac:dyDescent="0.25">
      <c r="C68" s="643" t="s">
        <v>2329</v>
      </c>
      <c r="D68" s="644">
        <v>50</v>
      </c>
      <c r="E68" s="645">
        <v>450</v>
      </c>
      <c r="F68" s="97">
        <f t="shared" si="4"/>
        <v>22500</v>
      </c>
      <c r="G68" s="161" t="s">
        <v>1691</v>
      </c>
      <c r="H68" s="142" t="s">
        <v>976</v>
      </c>
      <c r="I68" s="130" t="str">
        <f>VLOOKUP(H68,Presupuesto!$B$11:$C$565,2,0)</f>
        <v>EDIFICIOS Y LOCALES</v>
      </c>
      <c r="J68" s="98" t="str">
        <f t="shared" si="5"/>
        <v>Gestión Administrativa y  financiera en apoyo al Desarrollo Académico</v>
      </c>
      <c r="K68" s="98" t="s">
        <v>411</v>
      </c>
      <c r="L68" s="98"/>
    </row>
    <row r="69" spans="3:12" x14ac:dyDescent="0.25">
      <c r="C69" s="643" t="s">
        <v>2330</v>
      </c>
      <c r="D69" s="644">
        <v>30</v>
      </c>
      <c r="E69" s="645">
        <v>1500</v>
      </c>
      <c r="F69" s="97">
        <f t="shared" si="4"/>
        <v>45000</v>
      </c>
      <c r="G69" s="161" t="s">
        <v>1691</v>
      </c>
      <c r="H69" s="142" t="s">
        <v>976</v>
      </c>
      <c r="I69" s="130" t="str">
        <f>VLOOKUP(H69,Presupuesto!$B$11:$C$565,2,0)</f>
        <v>EDIFICIOS Y LOCALES</v>
      </c>
      <c r="J69" s="98" t="str">
        <f t="shared" si="5"/>
        <v>Gestión Administrativa y  financiera en apoyo al Desarrollo Académico</v>
      </c>
      <c r="K69" s="98" t="s">
        <v>411</v>
      </c>
      <c r="L69" s="98"/>
    </row>
    <row r="70" spans="3:12" x14ac:dyDescent="0.25">
      <c r="C70" s="643" t="s">
        <v>2331</v>
      </c>
      <c r="D70" s="644">
        <v>20</v>
      </c>
      <c r="E70" s="645">
        <v>600</v>
      </c>
      <c r="F70" s="97">
        <f t="shared" si="4"/>
        <v>12000</v>
      </c>
      <c r="G70" s="161" t="s">
        <v>1691</v>
      </c>
      <c r="H70" s="142" t="s">
        <v>976</v>
      </c>
      <c r="I70" s="130" t="str">
        <f>VLOOKUP(H70,Presupuesto!$B$11:$C$565,2,0)</f>
        <v>EDIFICIOS Y LOCALES</v>
      </c>
      <c r="J70" s="98" t="str">
        <f t="shared" si="5"/>
        <v>Gestión Administrativa y  financiera en apoyo al Desarrollo Académico</v>
      </c>
      <c r="K70" s="98" t="s">
        <v>411</v>
      </c>
      <c r="L70" s="98"/>
    </row>
    <row r="71" spans="3:12" x14ac:dyDescent="0.25">
      <c r="C71" s="643" t="s">
        <v>2332</v>
      </c>
      <c r="D71" s="644">
        <v>88</v>
      </c>
      <c r="E71" s="645">
        <v>350</v>
      </c>
      <c r="F71" s="97">
        <f t="shared" si="4"/>
        <v>30800</v>
      </c>
      <c r="G71" s="161" t="s">
        <v>1691</v>
      </c>
      <c r="H71" s="142" t="s">
        <v>976</v>
      </c>
      <c r="I71" s="130" t="str">
        <f>VLOOKUP(H71,Presupuesto!$B$11:$C$565,2,0)</f>
        <v>EDIFICIOS Y LOCALES</v>
      </c>
      <c r="J71" s="98" t="str">
        <f t="shared" si="5"/>
        <v>Gestión Administrativa y  financiera en apoyo al Desarrollo Académico</v>
      </c>
      <c r="K71" s="98" t="s">
        <v>411</v>
      </c>
      <c r="L71" s="98"/>
    </row>
    <row r="72" spans="3:12" x14ac:dyDescent="0.25">
      <c r="C72" s="643" t="s">
        <v>2333</v>
      </c>
      <c r="D72" s="644">
        <v>50</v>
      </c>
      <c r="E72" s="645">
        <v>15</v>
      </c>
      <c r="F72" s="97">
        <f t="shared" si="4"/>
        <v>750</v>
      </c>
      <c r="G72" s="161" t="s">
        <v>1691</v>
      </c>
      <c r="H72" s="142" t="s">
        <v>976</v>
      </c>
      <c r="I72" s="130" t="str">
        <f>VLOOKUP(H72,Presupuesto!$B$11:$C$565,2,0)</f>
        <v>EDIFICIOS Y LOCALES</v>
      </c>
      <c r="J72" s="98" t="str">
        <f t="shared" si="5"/>
        <v>Gestión Administrativa y  financiera en apoyo al Desarrollo Académico</v>
      </c>
      <c r="K72" s="98" t="s">
        <v>402</v>
      </c>
      <c r="L72" s="98"/>
    </row>
    <row r="73" spans="3:12" x14ac:dyDescent="0.25">
      <c r="C73" s="643" t="s">
        <v>2334</v>
      </c>
      <c r="D73" s="644">
        <v>1180</v>
      </c>
      <c r="E73" s="645">
        <v>20</v>
      </c>
      <c r="F73" s="97">
        <f t="shared" si="4"/>
        <v>23600</v>
      </c>
      <c r="G73" s="161" t="s">
        <v>1691</v>
      </c>
      <c r="H73" s="142" t="s">
        <v>976</v>
      </c>
      <c r="I73" s="130" t="str">
        <f>VLOOKUP(H73,Presupuesto!$B$11:$C$565,2,0)</f>
        <v>EDIFICIOS Y LOCALES</v>
      </c>
      <c r="J73" s="98" t="str">
        <f t="shared" si="5"/>
        <v>Gestión Administrativa y  financiera en apoyo al Desarrollo Académico</v>
      </c>
      <c r="K73" s="98" t="s">
        <v>411</v>
      </c>
      <c r="L73" s="98"/>
    </row>
    <row r="74" spans="3:12" x14ac:dyDescent="0.25">
      <c r="C74" s="643" t="s">
        <v>2335</v>
      </c>
      <c r="D74" s="644">
        <v>10</v>
      </c>
      <c r="E74" s="645">
        <v>4500</v>
      </c>
      <c r="F74" s="97">
        <f t="shared" si="4"/>
        <v>45000</v>
      </c>
      <c r="G74" s="161" t="s">
        <v>1691</v>
      </c>
      <c r="H74" s="142" t="s">
        <v>976</v>
      </c>
      <c r="I74" s="130" t="str">
        <f>VLOOKUP(H74,Presupuesto!$B$11:$C$565,2,0)</f>
        <v>EDIFICIOS Y LOCALES</v>
      </c>
      <c r="J74" s="98" t="str">
        <f t="shared" si="5"/>
        <v>Gestión Administrativa y  financiera en apoyo al Desarrollo Académico</v>
      </c>
      <c r="K74" s="98" t="s">
        <v>411</v>
      </c>
      <c r="L74" s="98"/>
    </row>
    <row r="75" spans="3:12" x14ac:dyDescent="0.25">
      <c r="C75" s="643" t="s">
        <v>2336</v>
      </c>
      <c r="D75" s="644">
        <v>1</v>
      </c>
      <c r="E75" s="645">
        <v>400000</v>
      </c>
      <c r="F75" s="97">
        <f t="shared" si="4"/>
        <v>400000</v>
      </c>
      <c r="G75" s="161" t="s">
        <v>1691</v>
      </c>
      <c r="H75" s="142" t="s">
        <v>976</v>
      </c>
      <c r="I75" s="130" t="str">
        <f>VLOOKUP(H75,Presupuesto!$B$11:$C$565,2,0)</f>
        <v>EDIFICIOS Y LOCALES</v>
      </c>
      <c r="J75" s="98" t="str">
        <f t="shared" si="5"/>
        <v>Gestión Administrativa y  financiera en apoyo al Desarrollo Académico</v>
      </c>
      <c r="K75" s="98" t="s">
        <v>411</v>
      </c>
      <c r="L75" s="98"/>
    </row>
    <row r="76" spans="3:12" ht="15.75" thickBot="1" x14ac:dyDescent="0.3">
      <c r="C76" s="643" t="s">
        <v>2337</v>
      </c>
      <c r="D76" s="644">
        <v>1</v>
      </c>
      <c r="E76" s="645">
        <v>120000</v>
      </c>
      <c r="F76" s="105">
        <f t="shared" si="4"/>
        <v>120000</v>
      </c>
      <c r="G76" s="161" t="s">
        <v>1691</v>
      </c>
      <c r="H76" s="142" t="s">
        <v>976</v>
      </c>
      <c r="I76" s="132" t="str">
        <f>VLOOKUP(H76,Presupuesto!$B$11:$C$565,2,0)</f>
        <v>EDIFICIOS Y LOCALES</v>
      </c>
      <c r="J76" s="106" t="str">
        <f t="shared" si="5"/>
        <v>Gestión Administrativa y  financiera en apoyo al Desarrollo Académico</v>
      </c>
      <c r="K76" s="124" t="s">
        <v>393</v>
      </c>
      <c r="L76" s="106"/>
    </row>
    <row r="78" spans="3:12" ht="15.75" thickBot="1" x14ac:dyDescent="0.3"/>
    <row r="79" spans="3:12" ht="15.75" thickBot="1" x14ac:dyDescent="0.3">
      <c r="C79" s="157" t="s">
        <v>53</v>
      </c>
      <c r="D79" s="372">
        <f>SUM(F86:F86)</f>
        <v>0</v>
      </c>
      <c r="F79" s="70"/>
      <c r="G79" s="79"/>
      <c r="H79" s="70"/>
      <c r="I79" s="70"/>
    </row>
    <row r="80" spans="3:12" x14ac:dyDescent="0.25">
      <c r="C80" s="70"/>
      <c r="D80" s="31"/>
      <c r="E80" s="93"/>
      <c r="F80" s="93"/>
      <c r="G80" s="93"/>
      <c r="H80" s="76"/>
      <c r="I80" s="76"/>
      <c r="J80" s="76"/>
      <c r="K80" s="112"/>
    </row>
    <row r="81" spans="3:12" ht="15.75" x14ac:dyDescent="0.25">
      <c r="C81" s="301" t="s">
        <v>391</v>
      </c>
      <c r="D81" s="368"/>
      <c r="E81" s="93"/>
      <c r="F81" s="93"/>
      <c r="G81" s="93"/>
      <c r="H81" s="76"/>
      <c r="I81" s="76"/>
      <c r="J81" s="76"/>
      <c r="K81" s="112"/>
    </row>
    <row r="82" spans="3:12" ht="18.75" x14ac:dyDescent="0.25">
      <c r="C82" s="210" t="e">
        <f>IFERROR(VLOOKUP(D81,'1. Desarrollo e Innov. Curricu.'!$F:$G,2,FALSE),IFERROR(VLOOKUP(D81,'2. Investigación Científica'!$F:$G,2,FALSE),IFERROR(VLOOKUP(D81,'3. Vinculación Univ. Sociedad'!$F:$G,2,FALSE),IFERROR(VLOOKUP(D81,'4. Docencia y Profesorado Univ.'!$F:$G,2,FALSE),IFERROR(VLOOKUP(D81,'5. Estudiantes y Graduados'!$F:$G,2,FALSE),IFERROR(VLOOKUP(D81,'11. Gestion Administrativa'!$F:$G,2,FALSE),IFERROR(VLOOKUP(D81,'13. Gestión Académica'!$F:$G,2,FALSE),IFERROR(VLOOKUP(D81,'9. Asegura. de la Calid. y M'!$F:$G,2,FALSE),IFERROR(VLOOKUP(D81,'6. Gestión del Conocimiento'!$F:$G,2,FALSE),IFERROR(VLOOKUP(D81,'15. Gobernabilidad y Proceso...'!$F:$G,2,FALSE),IFERROR(VLOOKUP(D81,'12. Gestión del Talento Humano'!$F:$G,2,FALSE),IFERROR(VLOOKUP(D81,'14. Internacional... de la E.S.'!$F:$G,2,FALSE),IFERROR(VLOOKUP(D81,'10. Posgrado'!$F:$G,2,FALSE),IFERROR(VLOOKUP(D81,'17. Gestión TIC'!$F:$G,2,FALSE),IFERROR(VLOOKUP(D81,'16. Desa. del Sistema Educ.Sup.'!$F:$G,2,FALSE),IFERROR(VLOOKUP(D81,'8. Cultura de Inno. Insti...'!$F:$G,2,FALSE),VLOOKUP(D81,'7. Lo Esencial de la Reforma U.'!$F:$G,2,0)))))))))))))))))</f>
        <v>#N/A</v>
      </c>
      <c r="D82" s="31"/>
      <c r="E82" s="93"/>
      <c r="F82" s="93"/>
      <c r="G82" s="93"/>
      <c r="H82" s="76"/>
      <c r="I82" s="76"/>
      <c r="J82" s="76"/>
      <c r="K82" s="112"/>
    </row>
    <row r="83" spans="3:12" x14ac:dyDescent="0.25">
      <c r="E83" s="93"/>
      <c r="F83" s="93"/>
      <c r="G83" s="93"/>
      <c r="H83" s="76"/>
      <c r="I83" s="76"/>
      <c r="J83" s="76"/>
      <c r="K83" s="112"/>
    </row>
    <row r="84" spans="3:12" ht="15.75" thickBot="1" x14ac:dyDescent="0.3">
      <c r="F84" s="93"/>
      <c r="G84" s="76"/>
      <c r="H84" s="76"/>
      <c r="I84" s="76"/>
    </row>
    <row r="85" spans="3:12" ht="30.75" thickBot="1" x14ac:dyDescent="0.3">
      <c r="C85" s="129" t="s">
        <v>44</v>
      </c>
      <c r="D85" s="134" t="s">
        <v>55</v>
      </c>
      <c r="E85" s="136" t="s">
        <v>57</v>
      </c>
      <c r="F85" s="135" t="s">
        <v>27</v>
      </c>
      <c r="G85" s="133" t="s">
        <v>130</v>
      </c>
      <c r="H85" s="136" t="s">
        <v>46</v>
      </c>
      <c r="I85" s="133" t="s">
        <v>131</v>
      </c>
      <c r="J85" s="133" t="s">
        <v>409</v>
      </c>
      <c r="K85" s="133" t="s">
        <v>410</v>
      </c>
      <c r="L85" s="133" t="s">
        <v>120</v>
      </c>
    </row>
    <row r="86" spans="3:12" x14ac:dyDescent="0.25">
      <c r="C86" s="637"/>
      <c r="D86" s="158"/>
      <c r="E86" s="115"/>
      <c r="F86" s="97"/>
      <c r="G86" s="161"/>
      <c r="H86" s="142"/>
      <c r="I86" s="130"/>
      <c r="J86" s="218"/>
      <c r="K86" s="98"/>
      <c r="L86" s="98"/>
    </row>
    <row r="87" spans="3:12" x14ac:dyDescent="0.25">
      <c r="F87" s="90"/>
      <c r="G87" s="89"/>
      <c r="H87" s="90"/>
      <c r="I87" s="90"/>
    </row>
    <row r="88" spans="3:12" ht="15.75" thickBot="1" x14ac:dyDescent="0.3"/>
    <row r="89" spans="3:12" ht="15.75" thickBot="1" x14ac:dyDescent="0.3">
      <c r="C89" s="157" t="s">
        <v>53</v>
      </c>
      <c r="D89" s="372">
        <f>SUM(F96:F96)</f>
        <v>0</v>
      </c>
      <c r="F89" s="70"/>
      <c r="G89" s="79"/>
      <c r="H89" s="70"/>
      <c r="I89" s="70"/>
    </row>
    <row r="90" spans="3:12" x14ac:dyDescent="0.25">
      <c r="C90" s="70"/>
      <c r="D90" s="31"/>
      <c r="E90" s="93"/>
      <c r="F90" s="93"/>
      <c r="G90" s="93"/>
      <c r="H90" s="76"/>
      <c r="I90" s="76"/>
      <c r="J90" s="76"/>
      <c r="K90" s="112"/>
    </row>
    <row r="91" spans="3:12" ht="15.75" x14ac:dyDescent="0.25">
      <c r="C91" s="301" t="s">
        <v>391</v>
      </c>
      <c r="D91" s="368"/>
      <c r="E91" s="93"/>
      <c r="F91" s="93"/>
      <c r="G91" s="93"/>
      <c r="H91" s="76"/>
      <c r="I91" s="76"/>
      <c r="J91" s="76"/>
      <c r="K91" s="112"/>
    </row>
    <row r="92" spans="3:12" ht="18.75" x14ac:dyDescent="0.25">
      <c r="C92" s="210" t="e">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#N/A</v>
      </c>
      <c r="D92" s="31"/>
      <c r="E92" s="93"/>
      <c r="F92" s="93"/>
      <c r="G92" s="93"/>
      <c r="H92" s="76"/>
      <c r="I92" s="76"/>
      <c r="J92" s="76"/>
      <c r="K92" s="112"/>
    </row>
    <row r="93" spans="3:12" x14ac:dyDescent="0.25">
      <c r="E93" s="93"/>
      <c r="F93" s="93"/>
      <c r="G93" s="93"/>
      <c r="H93" s="76"/>
      <c r="I93" s="76"/>
      <c r="J93" s="76"/>
      <c r="K93" s="112"/>
    </row>
    <row r="94" spans="3:12" ht="15.75" thickBot="1" x14ac:dyDescent="0.3">
      <c r="F94" s="93"/>
      <c r="G94" s="76"/>
      <c r="H94" s="76"/>
      <c r="I94" s="76"/>
    </row>
    <row r="95" spans="3:12" ht="30.75" thickBot="1" x14ac:dyDescent="0.3">
      <c r="C95" s="129" t="s">
        <v>44</v>
      </c>
      <c r="D95" s="134" t="s">
        <v>55</v>
      </c>
      <c r="E95" s="136" t="s">
        <v>57</v>
      </c>
      <c r="F95" s="135" t="s">
        <v>27</v>
      </c>
      <c r="G95" s="133" t="s">
        <v>130</v>
      </c>
      <c r="H95" s="136" t="s">
        <v>46</v>
      </c>
      <c r="I95" s="133" t="s">
        <v>131</v>
      </c>
      <c r="J95" s="133" t="s">
        <v>409</v>
      </c>
      <c r="K95" s="133" t="s">
        <v>410</v>
      </c>
      <c r="L95" s="133" t="s">
        <v>120</v>
      </c>
    </row>
    <row r="96" spans="3:12" x14ac:dyDescent="0.25">
      <c r="C96" s="637"/>
      <c r="D96" s="158"/>
      <c r="E96" s="115"/>
      <c r="F96" s="97"/>
      <c r="G96" s="161"/>
      <c r="H96" s="142"/>
      <c r="I96" s="130"/>
      <c r="J96" s="218"/>
      <c r="K96" s="98"/>
      <c r="L96" s="98"/>
    </row>
  </sheetData>
  <dataValidations count="6">
    <dataValidation type="list" allowBlank="1" showInputMessage="1" showErrorMessage="1" errorTitle="¡Ingreso Inválido!" error="Seleccione una opción de la lista." promptTitle="Tipo de Presupuesto" prompt="Seleccione una opción de la lista." sqref="G28:G36 G46 G17:G19 G56:G76 G86 G96">
      <formula1>$R$2:$S$2</formula1>
    </dataValidation>
    <dataValidation type="list" allowBlank="1" showInputMessage="1" showErrorMessage="1" errorTitle="¡Ingreso Inválido!" error="Seleccione una opción de la lista" promptTitle="Mes Requerido" prompt="Seleccione el mes en el que requiere el recurso." sqref="K28:K36 K46 K56:K76 K86 K96 K17:K19">
      <formula1>$U$2:$AF$2</formula1>
    </dataValidation>
    <dataValidation type="list" allowBlank="1" showInputMessage="1" showErrorMessage="1" errorTitle="¡Ingreso Inválido!" error="Seleccione una opción de la lista." promptTitle="Proyecto" prompt="Seleccione una opción." sqref="L28:L36 L46 L56:L76 L86 L96 L17:L19">
      <formula1>$M$2:$O$2</formula1>
    </dataValidation>
    <dataValidation type="list" allowBlank="1" showInputMessage="1" showErrorMessage="1" errorTitle="¡Ingreso Inválido!" error="Verifique el valor ingresado." promptTitle="Ingrese el Objeto de Gasto" prompt="Ingrese el Objeto de Gasto" sqref="H86 H17:H19 H46 H56:H76 H28:H36 H96">
      <formula1>$A$1:$UI$1</formula1>
    </dataValidation>
    <dataValidation type="list" allowBlank="1" showInputMessage="1" showErrorMessage="1" errorTitle="¡Ingreso Inválido!" error="Seleccione una opción de la lista." promptTitle="Dimensión Estratégica" prompt="Seleccione una opción de la lista." sqref="J57:J76 J28:J36">
      <formula1>$A$2:$P$2</formula1>
    </dataValidation>
    <dataValidation type="list" allowBlank="1" showInputMessage="1" showErrorMessage="1" errorTitle="¡Ingreso Inválido!" error="Seleccione una opción de la lista." promptTitle="Dimensión Estratégica" prompt="Seleccione una opción de la lista." sqref="J96 J46 J56 J86 J17:J19">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Normal="100" zoomScaleSheetLayoutView="90" workbookViewId="0">
      <selection activeCell="E5" sqref="E5"/>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4"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53.25" thickBot="1" x14ac:dyDescent="0.3">
      <c r="C5" s="87" t="s">
        <v>418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SUM(F17:F50)</f>
        <v>0</v>
      </c>
      <c r="G10" s="79"/>
      <c r="H10" s="70"/>
      <c r="I10" s="70"/>
    </row>
    <row r="11" spans="1:555" x14ac:dyDescent="0.25">
      <c r="G11" s="79"/>
      <c r="H11" s="70"/>
      <c r="I11" s="70"/>
    </row>
    <row r="12" spans="1:555" x14ac:dyDescent="0.25">
      <c r="F12" s="70"/>
      <c r="G12" s="79"/>
      <c r="H12" s="70"/>
      <c r="I12" s="70"/>
    </row>
    <row r="13" spans="1:555" ht="15.75" x14ac:dyDescent="0.25">
      <c r="C13" s="301" t="s">
        <v>391</v>
      </c>
      <c r="D13" s="368"/>
      <c r="F13" s="70"/>
      <c r="G13" s="79"/>
      <c r="H13" s="70"/>
      <c r="I13" s="70"/>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x14ac:dyDescent="0.3">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1" t="s">
        <v>391</v>
      </c>
      <c r="D56" s="368"/>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1" t="s">
        <v>391</v>
      </c>
      <c r="D99" s="368"/>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391</v>
      </c>
      <c r="D142" s="368"/>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zoomScale="70" zoomScaleNormal="70"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5"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18" width="22.7109375" style="86" customWidth="1"/>
    <col min="19" max="20" width="14.140625" style="86" customWidth="1"/>
    <col min="21" max="21" width="17" style="86" customWidth="1"/>
    <col min="22" max="16384" width="11.5703125" style="86"/>
  </cols>
  <sheetData>
    <row r="1" spans="1:21" ht="18" customHeight="1" x14ac:dyDescent="0.25">
      <c r="B1" s="506" t="s">
        <v>1681</v>
      </c>
      <c r="C1" s="507" t="s">
        <v>1682</v>
      </c>
      <c r="D1" s="207"/>
      <c r="E1" s="207"/>
      <c r="F1" s="240"/>
      <c r="H1" s="208" t="s">
        <v>1342</v>
      </c>
      <c r="I1" s="207"/>
      <c r="J1" s="207"/>
      <c r="K1" s="207"/>
      <c r="L1" s="207"/>
      <c r="M1" s="207"/>
      <c r="N1" s="207"/>
      <c r="O1" s="207"/>
      <c r="P1" s="207"/>
      <c r="Q1" s="207"/>
      <c r="R1" s="207"/>
      <c r="S1" s="207"/>
      <c r="T1" s="207"/>
      <c r="U1" s="207"/>
    </row>
    <row r="2" spans="1:21" ht="18" customHeight="1" x14ac:dyDescent="0.25">
      <c r="A2" s="309"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09"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09"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720" t="s">
        <v>96</v>
      </c>
      <c r="B5" s="722" t="s">
        <v>110</v>
      </c>
      <c r="C5" s="732" t="s">
        <v>1530</v>
      </c>
      <c r="D5" s="732" t="s">
        <v>1531</v>
      </c>
      <c r="E5" s="732" t="s">
        <v>86</v>
      </c>
      <c r="F5" s="732" t="s">
        <v>391</v>
      </c>
      <c r="G5" s="732" t="s">
        <v>87</v>
      </c>
      <c r="H5" s="735" t="s">
        <v>99</v>
      </c>
      <c r="I5" s="737"/>
      <c r="J5" s="737"/>
      <c r="K5" s="737"/>
      <c r="L5" s="737"/>
      <c r="M5" s="737"/>
      <c r="N5" s="737"/>
      <c r="O5" s="736"/>
      <c r="P5" s="741" t="s">
        <v>100</v>
      </c>
      <c r="Q5" s="742"/>
      <c r="R5" s="722" t="s">
        <v>102</v>
      </c>
      <c r="S5" s="722" t="s">
        <v>109</v>
      </c>
      <c r="T5" s="722" t="s">
        <v>108</v>
      </c>
      <c r="U5" s="738" t="s">
        <v>88</v>
      </c>
    </row>
    <row r="6" spans="1:21" ht="14.45" customHeight="1" x14ac:dyDescent="0.25">
      <c r="A6" s="720"/>
      <c r="B6" s="720"/>
      <c r="C6" s="733"/>
      <c r="D6" s="733"/>
      <c r="E6" s="733"/>
      <c r="F6" s="733"/>
      <c r="G6" s="733"/>
      <c r="H6" s="735" t="s">
        <v>103</v>
      </c>
      <c r="I6" s="736"/>
      <c r="J6" s="735" t="s">
        <v>104</v>
      </c>
      <c r="K6" s="736"/>
      <c r="L6" s="735" t="s">
        <v>105</v>
      </c>
      <c r="M6" s="736"/>
      <c r="N6" s="735" t="s">
        <v>106</v>
      </c>
      <c r="O6" s="736"/>
      <c r="P6" s="743"/>
      <c r="Q6" s="744"/>
      <c r="R6" s="720"/>
      <c r="S6" s="720"/>
      <c r="T6" s="720"/>
      <c r="U6" s="739"/>
    </row>
    <row r="7" spans="1:21" ht="25.5" x14ac:dyDescent="0.25">
      <c r="A7" s="721"/>
      <c r="B7" s="721"/>
      <c r="C7" s="734"/>
      <c r="D7" s="734"/>
      <c r="E7" s="734"/>
      <c r="F7" s="734"/>
      <c r="G7" s="734"/>
      <c r="H7" s="440" t="s">
        <v>107</v>
      </c>
      <c r="I7" s="440" t="s">
        <v>12</v>
      </c>
      <c r="J7" s="440" t="s">
        <v>107</v>
      </c>
      <c r="K7" s="440" t="s">
        <v>12</v>
      </c>
      <c r="L7" s="440" t="s">
        <v>107</v>
      </c>
      <c r="M7" s="440" t="s">
        <v>12</v>
      </c>
      <c r="N7" s="440" t="s">
        <v>107</v>
      </c>
      <c r="O7" s="440" t="s">
        <v>12</v>
      </c>
      <c r="P7" s="440" t="s">
        <v>107</v>
      </c>
      <c r="Q7" s="440" t="s">
        <v>12</v>
      </c>
      <c r="R7" s="721"/>
      <c r="S7" s="721"/>
      <c r="T7" s="721"/>
      <c r="U7" s="740"/>
    </row>
    <row r="8" spans="1:2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40.5" customHeight="1" x14ac:dyDescent="0.25">
      <c r="A9" s="729" t="s">
        <v>1373</v>
      </c>
      <c r="B9" s="726" t="s">
        <v>1374</v>
      </c>
      <c r="C9" s="323"/>
      <c r="D9" s="323"/>
      <c r="E9" s="323"/>
      <c r="F9" s="71"/>
      <c r="G9" s="71"/>
      <c r="H9" s="203"/>
      <c r="I9" s="204"/>
      <c r="J9" s="203"/>
      <c r="K9" s="204"/>
      <c r="L9" s="203"/>
      <c r="M9" s="204"/>
      <c r="N9" s="203"/>
      <c r="O9" s="204"/>
      <c r="P9" s="378">
        <f>H9+J9+L9+N9</f>
        <v>0</v>
      </c>
      <c r="Q9" s="378">
        <f>I9+K9+M9+O9</f>
        <v>0</v>
      </c>
      <c r="R9" s="71"/>
      <c r="S9" s="71"/>
      <c r="T9" s="71"/>
      <c r="U9" s="71"/>
    </row>
    <row r="10" spans="1:21" ht="156.75" x14ac:dyDescent="0.25">
      <c r="A10" s="730"/>
      <c r="B10" s="727"/>
      <c r="C10" s="323" t="s">
        <v>1681</v>
      </c>
      <c r="D10" s="555" t="s">
        <v>1806</v>
      </c>
      <c r="E10" s="323" t="s">
        <v>1805</v>
      </c>
      <c r="F10" s="71" t="s">
        <v>1801</v>
      </c>
      <c r="G10" s="71" t="s">
        <v>1800</v>
      </c>
      <c r="H10" s="203"/>
      <c r="I10" s="204"/>
      <c r="J10" s="203"/>
      <c r="K10" s="204"/>
      <c r="L10" s="203">
        <v>1</v>
      </c>
      <c r="M10" s="204">
        <f>+'5. ACTIVIDADES ESPECIALES'!D76</f>
        <v>1600</v>
      </c>
      <c r="N10" s="203"/>
      <c r="O10" s="204"/>
      <c r="P10" s="378">
        <f t="shared" ref="P10:P27" si="0">H10+J10+L10+N10</f>
        <v>1</v>
      </c>
      <c r="Q10" s="378">
        <f t="shared" ref="Q10:Q27" si="1">I10+K10+M10+O10</f>
        <v>1600</v>
      </c>
      <c r="R10" s="552" t="s">
        <v>1802</v>
      </c>
      <c r="S10" s="71" t="s">
        <v>1804</v>
      </c>
      <c r="T10" s="71" t="s">
        <v>1795</v>
      </c>
      <c r="U10" s="71" t="s">
        <v>1803</v>
      </c>
    </row>
    <row r="11" spans="1:21" ht="90" x14ac:dyDescent="0.25">
      <c r="A11" s="730"/>
      <c r="B11" s="727"/>
      <c r="C11" s="323" t="s">
        <v>1681</v>
      </c>
      <c r="D11" s="323" t="s">
        <v>2007</v>
      </c>
      <c r="E11" s="595" t="s">
        <v>2004</v>
      </c>
      <c r="F11" s="71" t="s">
        <v>2006</v>
      </c>
      <c r="G11" s="568" t="s">
        <v>2005</v>
      </c>
      <c r="H11" s="203"/>
      <c r="I11" s="204"/>
      <c r="J11" s="203">
        <v>1</v>
      </c>
      <c r="K11" s="204"/>
      <c r="L11" s="203"/>
      <c r="M11" s="204"/>
      <c r="N11" s="203"/>
      <c r="O11" s="204"/>
      <c r="P11" s="378">
        <f t="shared" si="0"/>
        <v>1</v>
      </c>
      <c r="Q11" s="378">
        <f t="shared" si="1"/>
        <v>0</v>
      </c>
      <c r="R11" s="590" t="s">
        <v>2010</v>
      </c>
      <c r="S11" s="249" t="s">
        <v>2008</v>
      </c>
      <c r="T11" s="249" t="s">
        <v>2009</v>
      </c>
      <c r="U11" s="249" t="s">
        <v>1969</v>
      </c>
    </row>
    <row r="12" spans="1:21" ht="204.75" x14ac:dyDescent="0.25">
      <c r="A12" s="730"/>
      <c r="B12" s="727"/>
      <c r="C12" s="323" t="s">
        <v>1681</v>
      </c>
      <c r="D12" s="323"/>
      <c r="E12" s="323" t="s">
        <v>2141</v>
      </c>
      <c r="F12" s="71" t="s">
        <v>2140</v>
      </c>
      <c r="G12" s="530" t="s">
        <v>2142</v>
      </c>
      <c r="H12" s="203"/>
      <c r="I12" s="204"/>
      <c r="J12" s="203">
        <v>0.5</v>
      </c>
      <c r="K12" s="204">
        <f>+J12*'5. ACTIVIDADES ESPECIALES'!D316</f>
        <v>10000</v>
      </c>
      <c r="L12" s="203">
        <v>0.5</v>
      </c>
      <c r="M12" s="204">
        <f>+L12*'5. ACTIVIDADES ESPECIALES'!D316</f>
        <v>10000</v>
      </c>
      <c r="N12" s="203"/>
      <c r="O12" s="204"/>
      <c r="P12" s="378">
        <f t="shared" si="0"/>
        <v>1</v>
      </c>
      <c r="Q12" s="378">
        <f t="shared" si="1"/>
        <v>20000</v>
      </c>
      <c r="R12" s="569" t="s">
        <v>2143</v>
      </c>
      <c r="S12" s="249" t="s">
        <v>2144</v>
      </c>
      <c r="T12" s="249" t="s">
        <v>2145</v>
      </c>
      <c r="U12" s="249" t="s">
        <v>2146</v>
      </c>
    </row>
    <row r="13" spans="1:21" ht="15.75" x14ac:dyDescent="0.25">
      <c r="A13" s="730"/>
      <c r="B13" s="727"/>
      <c r="C13" s="323"/>
      <c r="D13" s="323"/>
      <c r="E13" s="323"/>
      <c r="F13" s="71"/>
      <c r="G13" s="605"/>
      <c r="H13" s="203"/>
      <c r="I13" s="204"/>
      <c r="J13" s="203"/>
      <c r="K13" s="204"/>
      <c r="L13" s="203"/>
      <c r="M13" s="204"/>
      <c r="N13" s="203"/>
      <c r="O13" s="204"/>
      <c r="P13" s="378">
        <f t="shared" si="0"/>
        <v>0</v>
      </c>
      <c r="Q13" s="378">
        <f t="shared" si="1"/>
        <v>0</v>
      </c>
      <c r="R13" s="636"/>
      <c r="S13" s="71"/>
      <c r="T13" s="71"/>
      <c r="U13" s="71"/>
    </row>
    <row r="14" spans="1:21" ht="15.75" x14ac:dyDescent="0.25">
      <c r="A14" s="730"/>
      <c r="B14" s="727"/>
      <c r="C14" s="323"/>
      <c r="D14" s="323"/>
      <c r="E14" s="323"/>
      <c r="F14" s="71"/>
      <c r="G14" s="71"/>
      <c r="H14" s="203"/>
      <c r="I14" s="204"/>
      <c r="J14" s="203"/>
      <c r="K14" s="204"/>
      <c r="L14" s="203"/>
      <c r="M14" s="204"/>
      <c r="N14" s="203"/>
      <c r="O14" s="204"/>
      <c r="P14" s="378">
        <f t="shared" si="0"/>
        <v>0</v>
      </c>
      <c r="Q14" s="378">
        <f t="shared" si="1"/>
        <v>0</v>
      </c>
      <c r="R14" s="71"/>
      <c r="S14" s="71"/>
      <c r="T14" s="71"/>
      <c r="U14" s="71"/>
    </row>
    <row r="15" spans="1:21" ht="15.75" x14ac:dyDescent="0.25">
      <c r="A15" s="730"/>
      <c r="B15" s="727"/>
      <c r="C15" s="323"/>
      <c r="D15" s="323"/>
      <c r="E15" s="323"/>
      <c r="F15" s="71"/>
      <c r="G15" s="71"/>
      <c r="H15" s="203"/>
      <c r="I15" s="204"/>
      <c r="J15" s="203"/>
      <c r="K15" s="204"/>
      <c r="L15" s="203"/>
      <c r="M15" s="204"/>
      <c r="N15" s="203"/>
      <c r="O15" s="204"/>
      <c r="P15" s="378">
        <f t="shared" si="0"/>
        <v>0</v>
      </c>
      <c r="Q15" s="378">
        <f t="shared" si="1"/>
        <v>0</v>
      </c>
      <c r="R15" s="71"/>
      <c r="S15" s="71"/>
      <c r="T15" s="71"/>
      <c r="U15" s="71"/>
    </row>
    <row r="16" spans="1:21" ht="15.75" x14ac:dyDescent="0.25">
      <c r="A16" s="730"/>
      <c r="B16" s="727"/>
      <c r="C16" s="323"/>
      <c r="D16" s="323"/>
      <c r="E16" s="323"/>
      <c r="F16" s="71"/>
      <c r="G16" s="71"/>
      <c r="H16" s="203"/>
      <c r="I16" s="204"/>
      <c r="J16" s="203"/>
      <c r="K16" s="204"/>
      <c r="L16" s="203"/>
      <c r="M16" s="204"/>
      <c r="N16" s="203"/>
      <c r="O16" s="204"/>
      <c r="P16" s="378">
        <f t="shared" si="0"/>
        <v>0</v>
      </c>
      <c r="Q16" s="378">
        <f t="shared" si="1"/>
        <v>0</v>
      </c>
      <c r="R16" s="71"/>
      <c r="S16" s="71"/>
      <c r="T16" s="71"/>
      <c r="U16" s="71"/>
    </row>
    <row r="17" spans="1:21" ht="15.75" x14ac:dyDescent="0.25">
      <c r="A17" s="730"/>
      <c r="B17" s="727"/>
      <c r="C17" s="323"/>
      <c r="D17" s="323"/>
      <c r="E17" s="323"/>
      <c r="F17" s="71"/>
      <c r="G17" s="71"/>
      <c r="H17" s="203"/>
      <c r="I17" s="204"/>
      <c r="J17" s="203"/>
      <c r="K17" s="204"/>
      <c r="L17" s="203"/>
      <c r="M17" s="204"/>
      <c r="N17" s="203"/>
      <c r="O17" s="204"/>
      <c r="P17" s="378">
        <f t="shared" si="0"/>
        <v>0</v>
      </c>
      <c r="Q17" s="378">
        <f t="shared" si="1"/>
        <v>0</v>
      </c>
      <c r="R17" s="71"/>
      <c r="S17" s="71"/>
      <c r="T17" s="71"/>
      <c r="U17" s="71"/>
    </row>
    <row r="18" spans="1:21" ht="15.75" x14ac:dyDescent="0.25">
      <c r="A18" s="731"/>
      <c r="B18" s="728"/>
      <c r="C18" s="323"/>
      <c r="D18" s="323"/>
      <c r="E18" s="323"/>
      <c r="F18" s="71"/>
      <c r="G18" s="71"/>
      <c r="H18" s="203"/>
      <c r="I18" s="204"/>
      <c r="J18" s="203"/>
      <c r="K18" s="204"/>
      <c r="L18" s="203"/>
      <c r="M18" s="204"/>
      <c r="N18" s="203"/>
      <c r="O18" s="204"/>
      <c r="P18" s="378">
        <f t="shared" si="0"/>
        <v>0</v>
      </c>
      <c r="Q18" s="378">
        <f t="shared" si="1"/>
        <v>0</v>
      </c>
      <c r="R18" s="71"/>
      <c r="S18" s="71"/>
      <c r="T18" s="71"/>
      <c r="U18" s="71"/>
    </row>
    <row r="19" spans="1:21" ht="15.75" x14ac:dyDescent="0.25">
      <c r="A19" s="723" t="s">
        <v>1375</v>
      </c>
      <c r="B19" s="723" t="s">
        <v>1374</v>
      </c>
      <c r="C19" s="343"/>
      <c r="D19" s="343"/>
      <c r="E19" s="323"/>
      <c r="F19" s="71"/>
      <c r="G19" s="71"/>
      <c r="H19" s="71"/>
      <c r="I19" s="344"/>
      <c r="J19" s="71"/>
      <c r="K19" s="71"/>
      <c r="L19" s="71"/>
      <c r="M19" s="344"/>
      <c r="N19" s="71"/>
      <c r="O19" s="71"/>
      <c r="P19" s="378">
        <f t="shared" si="0"/>
        <v>0</v>
      </c>
      <c r="Q19" s="378">
        <f t="shared" si="1"/>
        <v>0</v>
      </c>
      <c r="R19" s="71"/>
      <c r="S19" s="71"/>
      <c r="T19" s="71"/>
      <c r="U19" s="71"/>
    </row>
    <row r="20" spans="1:21" ht="15.75" x14ac:dyDescent="0.25">
      <c r="A20" s="724"/>
      <c r="B20" s="724"/>
      <c r="C20" s="343"/>
      <c r="D20" s="343"/>
      <c r="E20" s="323"/>
      <c r="F20" s="71"/>
      <c r="G20" s="71"/>
      <c r="H20" s="71"/>
      <c r="I20" s="344"/>
      <c r="J20" s="71"/>
      <c r="K20" s="71"/>
      <c r="L20" s="71"/>
      <c r="M20" s="344"/>
      <c r="N20" s="71"/>
      <c r="O20" s="71"/>
      <c r="P20" s="378">
        <f t="shared" si="0"/>
        <v>0</v>
      </c>
      <c r="Q20" s="378">
        <f t="shared" si="1"/>
        <v>0</v>
      </c>
      <c r="R20" s="71"/>
      <c r="S20" s="71"/>
      <c r="T20" s="71"/>
      <c r="U20" s="71"/>
    </row>
    <row r="21" spans="1:21" ht="15.75" x14ac:dyDescent="0.25">
      <c r="A21" s="724"/>
      <c r="B21" s="724"/>
      <c r="C21" s="343"/>
      <c r="D21" s="343"/>
      <c r="E21" s="323"/>
      <c r="F21" s="71"/>
      <c r="G21" s="71"/>
      <c r="H21" s="71"/>
      <c r="I21" s="344"/>
      <c r="J21" s="71"/>
      <c r="K21" s="71"/>
      <c r="L21" s="71"/>
      <c r="M21" s="344"/>
      <c r="N21" s="71"/>
      <c r="O21" s="71"/>
      <c r="P21" s="378">
        <f t="shared" si="0"/>
        <v>0</v>
      </c>
      <c r="Q21" s="378">
        <f t="shared" si="1"/>
        <v>0</v>
      </c>
      <c r="R21" s="71"/>
      <c r="S21" s="71"/>
      <c r="T21" s="71"/>
      <c r="U21" s="71"/>
    </row>
    <row r="22" spans="1:21" ht="15.75" x14ac:dyDescent="0.25">
      <c r="A22" s="724"/>
      <c r="B22" s="724"/>
      <c r="C22" s="343"/>
      <c r="D22" s="343"/>
      <c r="E22" s="323"/>
      <c r="F22" s="71"/>
      <c r="G22" s="71"/>
      <c r="H22" s="71"/>
      <c r="I22" s="344"/>
      <c r="J22" s="71"/>
      <c r="K22" s="71"/>
      <c r="L22" s="71"/>
      <c r="M22" s="344"/>
      <c r="N22" s="71"/>
      <c r="O22" s="71"/>
      <c r="P22" s="378">
        <f t="shared" si="0"/>
        <v>0</v>
      </c>
      <c r="Q22" s="378">
        <f t="shared" si="1"/>
        <v>0</v>
      </c>
      <c r="R22" s="71"/>
      <c r="S22" s="71"/>
      <c r="T22" s="71"/>
      <c r="U22" s="71"/>
    </row>
    <row r="23" spans="1:21" ht="15.75" x14ac:dyDescent="0.25">
      <c r="A23" s="724"/>
      <c r="B23" s="724"/>
      <c r="C23" s="343"/>
      <c r="D23" s="343"/>
      <c r="E23" s="323"/>
      <c r="F23" s="71"/>
      <c r="G23" s="71"/>
      <c r="H23" s="71"/>
      <c r="I23" s="344"/>
      <c r="J23" s="71"/>
      <c r="K23" s="71"/>
      <c r="L23" s="71"/>
      <c r="M23" s="344"/>
      <c r="N23" s="71"/>
      <c r="O23" s="71"/>
      <c r="P23" s="378">
        <f t="shared" si="0"/>
        <v>0</v>
      </c>
      <c r="Q23" s="378">
        <f t="shared" si="1"/>
        <v>0</v>
      </c>
      <c r="R23" s="71"/>
      <c r="S23" s="71"/>
      <c r="T23" s="71"/>
      <c r="U23" s="71"/>
    </row>
    <row r="24" spans="1:21" ht="15.75" x14ac:dyDescent="0.25">
      <c r="A24" s="724"/>
      <c r="B24" s="724"/>
      <c r="C24" s="343"/>
      <c r="D24" s="343"/>
      <c r="E24" s="323"/>
      <c r="F24" s="71"/>
      <c r="G24" s="71"/>
      <c r="H24" s="71"/>
      <c r="I24" s="344"/>
      <c r="J24" s="71"/>
      <c r="K24" s="71"/>
      <c r="L24" s="71"/>
      <c r="M24" s="344"/>
      <c r="N24" s="71"/>
      <c r="O24" s="71"/>
      <c r="P24" s="378">
        <f t="shared" si="0"/>
        <v>0</v>
      </c>
      <c r="Q24" s="378">
        <f t="shared" si="1"/>
        <v>0</v>
      </c>
      <c r="R24" s="71"/>
      <c r="S24" s="71"/>
      <c r="T24" s="71"/>
      <c r="U24" s="71"/>
    </row>
    <row r="25" spans="1:21" ht="15.75" x14ac:dyDescent="0.25">
      <c r="A25" s="724"/>
      <c r="B25" s="724"/>
      <c r="C25" s="343"/>
      <c r="D25" s="343"/>
      <c r="E25" s="323"/>
      <c r="F25" s="71"/>
      <c r="G25" s="71"/>
      <c r="H25" s="203"/>
      <c r="I25" s="71"/>
      <c r="J25" s="71"/>
      <c r="K25" s="71"/>
      <c r="L25" s="71"/>
      <c r="M25" s="71"/>
      <c r="N25" s="71"/>
      <c r="O25" s="71"/>
      <c r="P25" s="378">
        <f t="shared" si="0"/>
        <v>0</v>
      </c>
      <c r="Q25" s="378">
        <f t="shared" si="1"/>
        <v>0</v>
      </c>
      <c r="R25" s="71"/>
      <c r="S25" s="71"/>
      <c r="T25" s="71"/>
      <c r="U25" s="71"/>
    </row>
    <row r="26" spans="1:21" ht="15.75" x14ac:dyDescent="0.25">
      <c r="A26" s="724"/>
      <c r="B26" s="724"/>
      <c r="C26" s="343"/>
      <c r="D26" s="343"/>
      <c r="E26" s="343"/>
      <c r="F26" s="71"/>
      <c r="G26" s="71"/>
      <c r="H26" s="71"/>
      <c r="I26" s="71"/>
      <c r="J26" s="71"/>
      <c r="K26" s="71"/>
      <c r="L26" s="71"/>
      <c r="M26" s="71"/>
      <c r="N26" s="71"/>
      <c r="O26" s="71"/>
      <c r="P26" s="378">
        <f t="shared" si="0"/>
        <v>0</v>
      </c>
      <c r="Q26" s="378">
        <f t="shared" si="1"/>
        <v>0</v>
      </c>
      <c r="R26" s="71"/>
      <c r="S26" s="71"/>
      <c r="T26" s="71"/>
      <c r="U26" s="71"/>
    </row>
    <row r="27" spans="1:21" ht="15.75" x14ac:dyDescent="0.25">
      <c r="A27" s="725"/>
      <c r="B27" s="725"/>
      <c r="C27" s="343"/>
      <c r="D27" s="343"/>
      <c r="E27" s="343"/>
      <c r="F27" s="71"/>
      <c r="G27" s="71"/>
      <c r="H27" s="71"/>
      <c r="I27" s="71"/>
      <c r="J27" s="71"/>
      <c r="K27" s="71"/>
      <c r="L27" s="71"/>
      <c r="M27" s="71"/>
      <c r="N27" s="71"/>
      <c r="O27" s="71"/>
      <c r="P27" s="378">
        <f t="shared" si="0"/>
        <v>0</v>
      </c>
      <c r="Q27" s="378">
        <f t="shared" si="1"/>
        <v>0</v>
      </c>
      <c r="R27" s="71"/>
      <c r="S27" s="71"/>
      <c r="T27" s="71"/>
      <c r="U27" s="72"/>
    </row>
    <row r="28" spans="1:21" ht="15.6" customHeight="1" x14ac:dyDescent="0.25">
      <c r="A28" s="294"/>
      <c r="B28" s="295"/>
      <c r="C28" s="294" t="s">
        <v>1350</v>
      </c>
      <c r="D28" s="295"/>
      <c r="E28" s="295"/>
      <c r="F28" s="295"/>
      <c r="G28" s="296"/>
      <c r="H28" s="231">
        <f t="shared" ref="H28:Q28" si="2">SUM(H9:H27)</f>
        <v>0</v>
      </c>
      <c r="I28" s="231">
        <f t="shared" si="2"/>
        <v>0</v>
      </c>
      <c r="J28" s="231">
        <f t="shared" si="2"/>
        <v>1.5</v>
      </c>
      <c r="K28" s="231">
        <f t="shared" si="2"/>
        <v>10000</v>
      </c>
      <c r="L28" s="231">
        <f t="shared" si="2"/>
        <v>1.5</v>
      </c>
      <c r="M28" s="231">
        <f t="shared" si="2"/>
        <v>11600</v>
      </c>
      <c r="N28" s="231">
        <f t="shared" si="2"/>
        <v>0</v>
      </c>
      <c r="O28" s="231">
        <f t="shared" si="2"/>
        <v>0</v>
      </c>
      <c r="P28" s="231">
        <f t="shared" si="2"/>
        <v>3</v>
      </c>
      <c r="Q28" s="231">
        <f t="shared" si="2"/>
        <v>21600</v>
      </c>
      <c r="R28" s="206"/>
      <c r="S28" s="206"/>
      <c r="T28" s="206"/>
      <c r="U28" s="209"/>
    </row>
    <row r="29" spans="1:21" x14ac:dyDescent="0.25">
      <c r="F29" s="86"/>
    </row>
    <row r="30" spans="1:21" x14ac:dyDescent="0.25">
      <c r="F30" s="86"/>
    </row>
    <row r="31" spans="1:21" x14ac:dyDescent="0.25">
      <c r="C31" s="153"/>
      <c r="F31" s="86"/>
    </row>
    <row r="32" spans="1:21" x14ac:dyDescent="0.25">
      <c r="C32" s="505"/>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6"/>
  <sheetViews>
    <sheetView showGridLines="0" topLeftCell="D1" zoomScale="80" zoomScaleNormal="80" workbookViewId="0">
      <pane ySplit="6" topLeftCell="A37" activePane="bottomLeft" state="frozen"/>
      <selection sqref="A1:V1"/>
      <selection pane="bottomLeft" activeCell="G40" sqref="G40"/>
    </sheetView>
  </sheetViews>
  <sheetFormatPr baseColWidth="10" defaultColWidth="12.5703125" defaultRowHeight="12" x14ac:dyDescent="0.25"/>
  <cols>
    <col min="1" max="1" width="35.140625" style="259" customWidth="1"/>
    <col min="2" max="2" width="48.140625" style="252" customWidth="1"/>
    <col min="3" max="4" width="32.42578125" style="252" customWidth="1"/>
    <col min="5" max="5" width="32.7109375" style="252" customWidth="1"/>
    <col min="6" max="6" width="27.42578125" style="260"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5" customWidth="1"/>
    <col min="17" max="17" width="16.28515625" style="385" bestFit="1" customWidth="1"/>
    <col min="18" max="18" width="40.5703125" style="252" customWidth="1"/>
    <col min="19" max="19" width="23" style="252" customWidth="1"/>
    <col min="20" max="20" width="14.28515625" style="252" customWidth="1"/>
    <col min="21" max="21" width="15.7109375" style="252" customWidth="1"/>
    <col min="22" max="16384" width="12.5703125" style="252"/>
  </cols>
  <sheetData>
    <row r="1" spans="1:28" s="244" customFormat="1" ht="18.75" x14ac:dyDescent="0.25">
      <c r="B1" s="288"/>
      <c r="C1" s="288"/>
      <c r="D1" s="288"/>
      <c r="E1" s="288"/>
      <c r="F1" s="288"/>
      <c r="G1" s="288"/>
      <c r="H1" s="288" t="s">
        <v>1379</v>
      </c>
      <c r="I1" s="288"/>
      <c r="L1" s="509" t="s">
        <v>1532</v>
      </c>
      <c r="M1" s="509" t="s">
        <v>1533</v>
      </c>
      <c r="N1" s="509" t="s">
        <v>1534</v>
      </c>
      <c r="O1" s="509" t="s">
        <v>1535</v>
      </c>
      <c r="P1" s="509" t="s">
        <v>1536</v>
      </c>
      <c r="Q1" s="509" t="s">
        <v>1537</v>
      </c>
      <c r="R1" s="509" t="s">
        <v>1538</v>
      </c>
      <c r="S1" s="509" t="s">
        <v>1539</v>
      </c>
      <c r="T1" s="509" t="s">
        <v>1540</v>
      </c>
      <c r="U1" s="509" t="s">
        <v>1541</v>
      </c>
      <c r="V1" s="509" t="s">
        <v>1542</v>
      </c>
      <c r="W1" s="509" t="s">
        <v>1543</v>
      </c>
      <c r="X1" s="509" t="s">
        <v>1544</v>
      </c>
      <c r="Y1" s="509" t="s">
        <v>1545</v>
      </c>
      <c r="Z1" s="509" t="s">
        <v>1546</v>
      </c>
      <c r="AA1" s="509" t="s">
        <v>1547</v>
      </c>
      <c r="AB1" s="509" t="s">
        <v>1548</v>
      </c>
    </row>
    <row r="2" spans="1:28" s="244" customFormat="1" ht="18.75" x14ac:dyDescent="0.25">
      <c r="A2" s="310" t="s">
        <v>1341</v>
      </c>
      <c r="B2" s="288"/>
      <c r="C2" s="288"/>
      <c r="D2" s="288"/>
      <c r="E2" s="288"/>
      <c r="F2" s="288"/>
      <c r="G2" s="288"/>
      <c r="H2" s="288"/>
      <c r="I2" s="288"/>
      <c r="J2" s="288"/>
      <c r="K2" s="288"/>
      <c r="L2" s="288"/>
      <c r="M2" s="288"/>
      <c r="N2" s="288"/>
      <c r="O2" s="288"/>
      <c r="P2" s="379"/>
      <c r="Q2" s="379"/>
      <c r="R2" s="288"/>
      <c r="S2" s="288"/>
      <c r="T2" s="288"/>
      <c r="U2" s="288"/>
    </row>
    <row r="3" spans="1:28" s="244" customFormat="1" ht="21" customHeight="1" x14ac:dyDescent="0.25">
      <c r="A3" s="245" t="s">
        <v>1376</v>
      </c>
      <c r="B3" s="246"/>
      <c r="C3" s="246"/>
      <c r="D3" s="246"/>
      <c r="E3" s="246"/>
      <c r="F3" s="247"/>
      <c r="G3" s="246"/>
      <c r="H3" s="246"/>
      <c r="I3" s="246"/>
      <c r="J3" s="246"/>
      <c r="K3" s="246"/>
      <c r="L3" s="246"/>
      <c r="M3" s="246"/>
      <c r="N3" s="246"/>
      <c r="O3" s="246"/>
      <c r="P3" s="380"/>
      <c r="Q3" s="380"/>
      <c r="R3" s="246"/>
      <c r="S3" s="246"/>
      <c r="T3" s="246"/>
      <c r="U3" s="246"/>
    </row>
    <row r="4" spans="1:28" s="67" customFormat="1" ht="23.2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102</v>
      </c>
      <c r="S4" s="722" t="s">
        <v>109</v>
      </c>
      <c r="T4" s="722" t="s">
        <v>108</v>
      </c>
      <c r="U4" s="738" t="s">
        <v>88</v>
      </c>
    </row>
    <row r="5" spans="1:28" s="67" customFormat="1"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39"/>
    </row>
    <row r="6" spans="1:28" s="67" customFormat="1" ht="24" customHeight="1"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40"/>
    </row>
    <row r="7" spans="1:28"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26" x14ac:dyDescent="0.25">
      <c r="A8" s="745" t="s">
        <v>1377</v>
      </c>
      <c r="B8" s="745" t="s">
        <v>1450</v>
      </c>
      <c r="C8" s="306" t="s">
        <v>1533</v>
      </c>
      <c r="D8" s="306" t="s">
        <v>1724</v>
      </c>
      <c r="E8" s="345" t="s">
        <v>1721</v>
      </c>
      <c r="F8" s="306" t="s">
        <v>1725</v>
      </c>
      <c r="G8" s="306" t="s">
        <v>1726</v>
      </c>
      <c r="H8" s="249"/>
      <c r="I8" s="249"/>
      <c r="J8" s="250">
        <v>1</v>
      </c>
      <c r="K8" s="251"/>
      <c r="L8" s="249"/>
      <c r="M8" s="230"/>
      <c r="N8" s="250"/>
      <c r="O8" s="230"/>
      <c r="P8" s="381">
        <f>H8+J8+L8+N8</f>
        <v>1</v>
      </c>
      <c r="Q8" s="382">
        <f>I8+K8+M8+O8</f>
        <v>0</v>
      </c>
      <c r="R8" s="249" t="s">
        <v>1723</v>
      </c>
      <c r="S8" s="249" t="s">
        <v>1722</v>
      </c>
      <c r="T8" s="249" t="s">
        <v>1727</v>
      </c>
      <c r="U8" s="306" t="s">
        <v>1769</v>
      </c>
    </row>
    <row r="9" spans="1:28" ht="78.75" x14ac:dyDescent="0.25">
      <c r="A9" s="746"/>
      <c r="B9" s="746"/>
      <c r="C9" s="306"/>
      <c r="D9" s="306"/>
      <c r="E9" s="306"/>
      <c r="F9" s="306" t="s">
        <v>1763</v>
      </c>
      <c r="G9" s="306" t="s">
        <v>1761</v>
      </c>
      <c r="H9" s="249"/>
      <c r="I9" s="249"/>
      <c r="J9" s="250">
        <v>1</v>
      </c>
      <c r="K9" s="251"/>
      <c r="L9" s="249"/>
      <c r="M9" s="230"/>
      <c r="N9" s="250"/>
      <c r="O9" s="230"/>
      <c r="P9" s="381">
        <f t="shared" ref="P9:P48" si="0">H9+J9+L9+N9</f>
        <v>1</v>
      </c>
      <c r="Q9" s="382">
        <f t="shared" ref="Q9:Q48" si="1">I9+K9+M9+O9</f>
        <v>0</v>
      </c>
      <c r="R9" s="540" t="s">
        <v>1765</v>
      </c>
      <c r="S9" s="249" t="s">
        <v>1722</v>
      </c>
      <c r="T9" s="249" t="s">
        <v>1767</v>
      </c>
      <c r="U9" s="306" t="s">
        <v>1768</v>
      </c>
    </row>
    <row r="10" spans="1:28" ht="78.75" x14ac:dyDescent="0.25">
      <c r="A10" s="746"/>
      <c r="B10" s="746"/>
      <c r="C10" s="306"/>
      <c r="D10" s="306"/>
      <c r="E10" s="306"/>
      <c r="F10" s="306" t="s">
        <v>1764</v>
      </c>
      <c r="G10" s="306" t="s">
        <v>1762</v>
      </c>
      <c r="H10" s="249"/>
      <c r="I10" s="249"/>
      <c r="J10" s="250">
        <v>1</v>
      </c>
      <c r="K10" s="251"/>
      <c r="L10" s="249"/>
      <c r="M10" s="230"/>
      <c r="N10" s="250"/>
      <c r="O10" s="230"/>
      <c r="P10" s="381">
        <f t="shared" si="0"/>
        <v>1</v>
      </c>
      <c r="Q10" s="382">
        <f t="shared" si="1"/>
        <v>0</v>
      </c>
      <c r="R10" s="541" t="s">
        <v>1766</v>
      </c>
      <c r="S10" s="249" t="s">
        <v>1722</v>
      </c>
      <c r="T10" s="249" t="s">
        <v>1767</v>
      </c>
      <c r="U10" s="306" t="s">
        <v>1768</v>
      </c>
    </row>
    <row r="11" spans="1:28" ht="94.5" x14ac:dyDescent="0.25">
      <c r="A11" s="746"/>
      <c r="B11" s="746"/>
      <c r="C11" s="306"/>
      <c r="D11" s="306"/>
      <c r="E11" s="306"/>
      <c r="F11" s="577" t="s">
        <v>1894</v>
      </c>
      <c r="G11" s="578" t="s">
        <v>1893</v>
      </c>
      <c r="H11" s="579"/>
      <c r="I11" s="249"/>
      <c r="J11" s="250">
        <v>1</v>
      </c>
      <c r="K11" s="251"/>
      <c r="L11" s="249"/>
      <c r="M11" s="230"/>
      <c r="N11" s="250"/>
      <c r="O11" s="230"/>
      <c r="P11" s="381">
        <f t="shared" si="0"/>
        <v>1</v>
      </c>
      <c r="Q11" s="382">
        <f t="shared" si="1"/>
        <v>0</v>
      </c>
      <c r="R11" s="556" t="s">
        <v>1895</v>
      </c>
      <c r="S11" s="581" t="s">
        <v>1896</v>
      </c>
      <c r="T11" s="581" t="s">
        <v>1897</v>
      </c>
      <c r="U11" s="582" t="s">
        <v>1898</v>
      </c>
    </row>
    <row r="12" spans="1:28" ht="63" x14ac:dyDescent="0.25">
      <c r="A12" s="746"/>
      <c r="B12" s="746"/>
      <c r="C12" s="306"/>
      <c r="D12" s="306"/>
      <c r="E12" s="306"/>
      <c r="F12" s="577" t="s">
        <v>1905</v>
      </c>
      <c r="G12" s="568" t="s">
        <v>2569</v>
      </c>
      <c r="H12" s="249"/>
      <c r="I12" s="249"/>
      <c r="J12" s="250">
        <v>1</v>
      </c>
      <c r="K12" s="251"/>
      <c r="L12" s="249"/>
      <c r="M12" s="230"/>
      <c r="N12" s="250"/>
      <c r="O12" s="230"/>
      <c r="P12" s="381">
        <f t="shared" si="0"/>
        <v>1</v>
      </c>
      <c r="Q12" s="382"/>
      <c r="R12" s="556" t="s">
        <v>1906</v>
      </c>
      <c r="S12" s="249" t="s">
        <v>1722</v>
      </c>
      <c r="T12" s="249" t="s">
        <v>1907</v>
      </c>
      <c r="U12" s="306" t="s">
        <v>1908</v>
      </c>
    </row>
    <row r="13" spans="1:28" ht="63" x14ac:dyDescent="0.25">
      <c r="A13" s="746"/>
      <c r="B13" s="746"/>
      <c r="C13" s="306"/>
      <c r="D13" s="306"/>
      <c r="E13" s="306"/>
      <c r="F13" s="577" t="s">
        <v>1911</v>
      </c>
      <c r="G13" s="525" t="s">
        <v>1909</v>
      </c>
      <c r="H13" s="249"/>
      <c r="I13" s="249"/>
      <c r="J13" s="250">
        <v>1</v>
      </c>
      <c r="K13" s="251"/>
      <c r="L13" s="249"/>
      <c r="M13" s="230"/>
      <c r="N13" s="250"/>
      <c r="O13" s="230"/>
      <c r="P13" s="381">
        <f t="shared" ref="P13:P19" si="2">H13+J13+L13+N13</f>
        <v>1</v>
      </c>
      <c r="Q13" s="382">
        <f t="shared" ref="Q13:Q19" si="3">I13+K13+M13+O13</f>
        <v>0</v>
      </c>
      <c r="R13" s="580" t="s">
        <v>1913</v>
      </c>
      <c r="S13" s="249" t="s">
        <v>1722</v>
      </c>
      <c r="T13" s="249" t="s">
        <v>1907</v>
      </c>
      <c r="U13" s="306" t="s">
        <v>1908</v>
      </c>
    </row>
    <row r="14" spans="1:28" ht="110.25" x14ac:dyDescent="0.25">
      <c r="A14" s="746"/>
      <c r="B14" s="746"/>
      <c r="C14" s="306"/>
      <c r="D14" s="306"/>
      <c r="E14" s="306"/>
      <c r="F14" s="577" t="s">
        <v>1912</v>
      </c>
      <c r="G14" s="525" t="s">
        <v>1910</v>
      </c>
      <c r="H14" s="249"/>
      <c r="I14" s="249"/>
      <c r="J14" s="250">
        <v>1</v>
      </c>
      <c r="K14" s="251"/>
      <c r="L14" s="249"/>
      <c r="M14" s="230"/>
      <c r="N14" s="250"/>
      <c r="O14" s="230"/>
      <c r="P14" s="381">
        <f t="shared" si="2"/>
        <v>1</v>
      </c>
      <c r="Q14" s="382">
        <f t="shared" si="3"/>
        <v>0</v>
      </c>
      <c r="R14" s="580" t="s">
        <v>1914</v>
      </c>
      <c r="S14" s="249" t="s">
        <v>1722</v>
      </c>
      <c r="T14" s="249" t="s">
        <v>1907</v>
      </c>
      <c r="U14" s="306" t="s">
        <v>1908</v>
      </c>
    </row>
    <row r="15" spans="1:28" ht="78.75" x14ac:dyDescent="0.25">
      <c r="A15" s="746"/>
      <c r="B15" s="746"/>
      <c r="C15" s="306"/>
      <c r="D15" s="306"/>
      <c r="E15" s="306"/>
      <c r="F15" s="577" t="s">
        <v>2036</v>
      </c>
      <c r="G15" s="568" t="s">
        <v>2035</v>
      </c>
      <c r="H15" s="249"/>
      <c r="I15" s="249"/>
      <c r="J15" s="250">
        <v>1</v>
      </c>
      <c r="K15" s="251"/>
      <c r="L15" s="249"/>
      <c r="M15" s="230"/>
      <c r="N15" s="250"/>
      <c r="O15" s="230"/>
      <c r="P15" s="381">
        <f t="shared" si="2"/>
        <v>1</v>
      </c>
      <c r="Q15" s="382">
        <f t="shared" si="3"/>
        <v>0</v>
      </c>
      <c r="R15" s="556" t="s">
        <v>2037</v>
      </c>
      <c r="S15" s="249" t="s">
        <v>1722</v>
      </c>
      <c r="T15" s="249" t="s">
        <v>2038</v>
      </c>
      <c r="U15" s="306" t="s">
        <v>2039</v>
      </c>
    </row>
    <row r="16" spans="1:28" ht="110.25" x14ac:dyDescent="0.25">
      <c r="A16" s="746"/>
      <c r="B16" s="746"/>
      <c r="C16" s="306"/>
      <c r="D16" s="306"/>
      <c r="E16" s="306"/>
      <c r="F16" s="577" t="s">
        <v>2044</v>
      </c>
      <c r="G16" s="602" t="s">
        <v>2040</v>
      </c>
      <c r="H16" s="249"/>
      <c r="I16" s="249"/>
      <c r="J16" s="250">
        <v>0.5</v>
      </c>
      <c r="K16" s="251"/>
      <c r="L16" s="249"/>
      <c r="M16" s="230"/>
      <c r="N16" s="250">
        <v>0.5</v>
      </c>
      <c r="O16" s="230"/>
      <c r="P16" s="381">
        <f t="shared" si="2"/>
        <v>1</v>
      </c>
      <c r="Q16" s="382">
        <f t="shared" si="3"/>
        <v>0</v>
      </c>
      <c r="R16" s="556" t="s">
        <v>2041</v>
      </c>
      <c r="S16" s="249" t="s">
        <v>2042</v>
      </c>
      <c r="T16" s="249" t="s">
        <v>2009</v>
      </c>
      <c r="U16" s="306" t="s">
        <v>2043</v>
      </c>
    </row>
    <row r="17" spans="1:21" ht="94.5" x14ac:dyDescent="0.25">
      <c r="A17" s="746"/>
      <c r="B17" s="746"/>
      <c r="C17" s="306"/>
      <c r="D17" s="306"/>
      <c r="E17" s="306"/>
      <c r="F17" s="577" t="s">
        <v>2046</v>
      </c>
      <c r="G17" s="568" t="s">
        <v>2045</v>
      </c>
      <c r="H17" s="249"/>
      <c r="I17" s="249"/>
      <c r="J17" s="250">
        <v>1</v>
      </c>
      <c r="K17" s="251"/>
      <c r="L17" s="249"/>
      <c r="M17" s="230"/>
      <c r="N17" s="250"/>
      <c r="O17" s="230"/>
      <c r="P17" s="381">
        <f t="shared" si="2"/>
        <v>1</v>
      </c>
      <c r="Q17" s="382">
        <f t="shared" si="3"/>
        <v>0</v>
      </c>
      <c r="R17" s="604" t="s">
        <v>2047</v>
      </c>
      <c r="S17" s="249" t="s">
        <v>2042</v>
      </c>
      <c r="T17" s="249" t="s">
        <v>2009</v>
      </c>
      <c r="U17" s="306" t="s">
        <v>2043</v>
      </c>
    </row>
    <row r="18" spans="1:21" ht="78.75" x14ac:dyDescent="0.25">
      <c r="A18" s="746"/>
      <c r="B18" s="746"/>
      <c r="C18" s="306"/>
      <c r="D18" s="306"/>
      <c r="E18" s="306"/>
      <c r="F18" s="306" t="s">
        <v>2061</v>
      </c>
      <c r="G18" s="525" t="s">
        <v>2135</v>
      </c>
      <c r="H18" s="249"/>
      <c r="I18" s="249"/>
      <c r="J18" s="250">
        <v>0.5</v>
      </c>
      <c r="K18" s="251"/>
      <c r="L18" s="249"/>
      <c r="M18" s="230"/>
      <c r="N18" s="250">
        <v>0.5</v>
      </c>
      <c r="O18" s="230"/>
      <c r="P18" s="381">
        <f t="shared" si="2"/>
        <v>1</v>
      </c>
      <c r="Q18" s="382">
        <f t="shared" si="3"/>
        <v>0</v>
      </c>
      <c r="R18" s="556" t="s">
        <v>2136</v>
      </c>
      <c r="S18" s="249" t="s">
        <v>2042</v>
      </c>
      <c r="T18" s="249" t="s">
        <v>2063</v>
      </c>
      <c r="U18" s="306" t="s">
        <v>2064</v>
      </c>
    </row>
    <row r="19" spans="1:21" ht="78.75" x14ac:dyDescent="0.25">
      <c r="A19" s="746"/>
      <c r="B19" s="746"/>
      <c r="C19" s="306"/>
      <c r="D19" s="306"/>
      <c r="E19" s="306"/>
      <c r="F19" s="306" t="s">
        <v>2062</v>
      </c>
      <c r="G19" s="525" t="s">
        <v>2060</v>
      </c>
      <c r="H19" s="249"/>
      <c r="I19" s="249"/>
      <c r="J19" s="250">
        <v>1</v>
      </c>
      <c r="K19" s="251"/>
      <c r="L19" s="249"/>
      <c r="M19" s="230"/>
      <c r="N19" s="250"/>
      <c r="O19" s="230"/>
      <c r="P19" s="381">
        <f t="shared" si="2"/>
        <v>1</v>
      </c>
      <c r="Q19" s="382">
        <f t="shared" si="3"/>
        <v>0</v>
      </c>
      <c r="R19" s="249" t="s">
        <v>1723</v>
      </c>
      <c r="S19" s="249" t="s">
        <v>1722</v>
      </c>
      <c r="T19" s="249" t="s">
        <v>2063</v>
      </c>
      <c r="U19" s="306" t="s">
        <v>2064</v>
      </c>
    </row>
    <row r="20" spans="1:21" ht="78.75" x14ac:dyDescent="0.25">
      <c r="A20" s="746"/>
      <c r="B20" s="746"/>
      <c r="C20" s="306"/>
      <c r="D20" s="306"/>
      <c r="E20" s="306"/>
      <c r="F20" s="306" t="s">
        <v>2180</v>
      </c>
      <c r="G20" s="525" t="s">
        <v>2179</v>
      </c>
      <c r="H20" s="249"/>
      <c r="I20" s="249"/>
      <c r="J20" s="250"/>
      <c r="K20" s="251"/>
      <c r="L20" s="250">
        <v>1</v>
      </c>
      <c r="M20" s="230"/>
      <c r="N20" s="250"/>
      <c r="O20" s="230"/>
      <c r="P20" s="381">
        <f>H20+J20+L20+N20</f>
        <v>1</v>
      </c>
      <c r="Q20" s="382">
        <f>I20+K20+M20+O20</f>
        <v>0</v>
      </c>
      <c r="R20" s="556" t="s">
        <v>2181</v>
      </c>
      <c r="S20" s="249" t="s">
        <v>2042</v>
      </c>
      <c r="T20" s="249" t="s">
        <v>2182</v>
      </c>
      <c r="U20" s="306" t="s">
        <v>2173</v>
      </c>
    </row>
    <row r="21" spans="1:21" ht="78.75" x14ac:dyDescent="0.25">
      <c r="A21" s="746"/>
      <c r="B21" s="746"/>
      <c r="C21" s="306"/>
      <c r="D21" s="306"/>
      <c r="E21" s="306"/>
      <c r="F21" s="306" t="s">
        <v>2183</v>
      </c>
      <c r="G21" s="525" t="s">
        <v>2565</v>
      </c>
      <c r="H21" s="249"/>
      <c r="I21" s="249"/>
      <c r="J21" s="250">
        <v>1</v>
      </c>
      <c r="K21" s="251"/>
      <c r="L21" s="249"/>
      <c r="M21" s="230"/>
      <c r="N21" s="250"/>
      <c r="O21" s="230"/>
      <c r="P21" s="381">
        <f t="shared" ref="P21:P25" si="4">H21+J21+L21+N21</f>
        <v>1</v>
      </c>
      <c r="Q21" s="382">
        <f t="shared" ref="Q21:Q25" si="5">I21+K21+M21+O21</f>
        <v>0</v>
      </c>
      <c r="R21" s="249" t="s">
        <v>1723</v>
      </c>
      <c r="S21" s="249" t="s">
        <v>1722</v>
      </c>
      <c r="T21" s="249" t="s">
        <v>2184</v>
      </c>
      <c r="U21" s="306" t="s">
        <v>2173</v>
      </c>
    </row>
    <row r="22" spans="1:21" ht="78.75" x14ac:dyDescent="0.25">
      <c r="A22" s="746"/>
      <c r="B22" s="746"/>
      <c r="C22" s="306"/>
      <c r="D22" s="306"/>
      <c r="E22" s="306"/>
      <c r="F22" s="306" t="s">
        <v>2186</v>
      </c>
      <c r="G22" s="525" t="s">
        <v>2185</v>
      </c>
      <c r="H22" s="249"/>
      <c r="I22" s="249"/>
      <c r="J22" s="250">
        <v>1</v>
      </c>
      <c r="K22" s="251"/>
      <c r="L22" s="249"/>
      <c r="M22" s="230"/>
      <c r="N22" s="250"/>
      <c r="O22" s="230"/>
      <c r="P22" s="381">
        <f t="shared" si="4"/>
        <v>1</v>
      </c>
      <c r="Q22" s="382">
        <f t="shared" si="5"/>
        <v>0</v>
      </c>
      <c r="R22" s="556" t="s">
        <v>2037</v>
      </c>
      <c r="S22" s="249" t="s">
        <v>1722</v>
      </c>
      <c r="T22" s="249" t="s">
        <v>2193</v>
      </c>
      <c r="U22" s="306" t="s">
        <v>2194</v>
      </c>
    </row>
    <row r="23" spans="1:21" ht="78.75" x14ac:dyDescent="0.25">
      <c r="A23" s="746"/>
      <c r="B23" s="746"/>
      <c r="C23" s="306"/>
      <c r="D23" s="306"/>
      <c r="E23" s="306"/>
      <c r="F23" s="306" t="s">
        <v>2253</v>
      </c>
      <c r="G23" s="525" t="s">
        <v>2251</v>
      </c>
      <c r="H23" s="249"/>
      <c r="I23" s="249"/>
      <c r="J23" s="250">
        <v>1</v>
      </c>
      <c r="K23" s="251"/>
      <c r="L23" s="249"/>
      <c r="M23" s="230"/>
      <c r="N23" s="250"/>
      <c r="O23" s="230"/>
      <c r="P23" s="381">
        <f t="shared" si="4"/>
        <v>1</v>
      </c>
      <c r="Q23" s="382">
        <f t="shared" si="5"/>
        <v>0</v>
      </c>
      <c r="R23" s="249" t="s">
        <v>1723</v>
      </c>
      <c r="S23" s="249" t="s">
        <v>1722</v>
      </c>
      <c r="T23" s="249" t="s">
        <v>2255</v>
      </c>
      <c r="U23" s="306" t="s">
        <v>2256</v>
      </c>
    </row>
    <row r="24" spans="1:21" ht="78.75" x14ac:dyDescent="0.25">
      <c r="A24" s="746"/>
      <c r="B24" s="746"/>
      <c r="C24" s="306"/>
      <c r="D24" s="306"/>
      <c r="E24" s="306"/>
      <c r="F24" s="306" t="s">
        <v>2254</v>
      </c>
      <c r="G24" s="525" t="s">
        <v>2252</v>
      </c>
      <c r="H24" s="249"/>
      <c r="I24" s="249"/>
      <c r="J24" s="250"/>
      <c r="K24" s="251"/>
      <c r="L24" s="249"/>
      <c r="M24" s="230"/>
      <c r="N24" s="250"/>
      <c r="O24" s="230"/>
      <c r="P24" s="381">
        <f t="shared" si="4"/>
        <v>0</v>
      </c>
      <c r="Q24" s="382">
        <f t="shared" si="5"/>
        <v>0</v>
      </c>
      <c r="R24" s="583"/>
      <c r="S24" s="249"/>
      <c r="T24" s="249"/>
      <c r="U24" s="306"/>
    </row>
    <row r="25" spans="1:21" ht="78.75" x14ac:dyDescent="0.25">
      <c r="A25" s="746"/>
      <c r="B25" s="746"/>
      <c r="C25" s="306"/>
      <c r="D25" s="306"/>
      <c r="E25" s="306"/>
      <c r="F25" s="306" t="s">
        <v>2258</v>
      </c>
      <c r="G25" s="689" t="s">
        <v>2257</v>
      </c>
      <c r="H25" s="250">
        <v>0.5</v>
      </c>
      <c r="I25" s="249"/>
      <c r="J25" s="250"/>
      <c r="K25" s="251"/>
      <c r="L25" s="250">
        <v>0.5</v>
      </c>
      <c r="M25" s="230"/>
      <c r="N25" s="250"/>
      <c r="O25" s="230"/>
      <c r="P25" s="381">
        <f t="shared" si="4"/>
        <v>1</v>
      </c>
      <c r="Q25" s="382">
        <f t="shared" si="5"/>
        <v>0</v>
      </c>
      <c r="R25" s="249" t="s">
        <v>1723</v>
      </c>
      <c r="S25" s="249" t="s">
        <v>2259</v>
      </c>
      <c r="T25" s="249" t="s">
        <v>2260</v>
      </c>
      <c r="U25" s="249" t="s">
        <v>2261</v>
      </c>
    </row>
    <row r="26" spans="1:21" ht="141.75" x14ac:dyDescent="0.25">
      <c r="A26" s="746"/>
      <c r="B26" s="746"/>
      <c r="C26" s="306" t="s">
        <v>1542</v>
      </c>
      <c r="D26" s="306"/>
      <c r="E26" s="345" t="s">
        <v>2188</v>
      </c>
      <c r="F26" s="306" t="s">
        <v>2065</v>
      </c>
      <c r="G26" s="578" t="s">
        <v>2066</v>
      </c>
      <c r="H26" s="249"/>
      <c r="I26" s="249"/>
      <c r="J26" s="250">
        <v>1</v>
      </c>
      <c r="K26" s="251"/>
      <c r="L26" s="249"/>
      <c r="M26" s="230"/>
      <c r="N26" s="250"/>
      <c r="O26" s="230"/>
      <c r="P26" s="381">
        <f t="shared" ref="P26" si="6">H26+J26+L26+N26</f>
        <v>1</v>
      </c>
      <c r="Q26" s="382">
        <f t="shared" ref="Q26" si="7">I26+K26+M26+O26</f>
        <v>0</v>
      </c>
      <c r="R26" s="556" t="s">
        <v>2137</v>
      </c>
      <c r="S26" s="249" t="s">
        <v>2067</v>
      </c>
      <c r="T26" s="249" t="s">
        <v>2068</v>
      </c>
      <c r="U26" s="306" t="s">
        <v>2064</v>
      </c>
    </row>
    <row r="27" spans="1:21" ht="78.75" x14ac:dyDescent="0.25">
      <c r="A27" s="746"/>
      <c r="B27" s="746"/>
      <c r="C27" s="306"/>
      <c r="D27" s="306"/>
      <c r="E27" s="345" t="s">
        <v>2188</v>
      </c>
      <c r="F27" s="306" t="s">
        <v>2189</v>
      </c>
      <c r="G27" s="603" t="s">
        <v>2187</v>
      </c>
      <c r="H27" s="619"/>
      <c r="I27" s="619"/>
      <c r="J27" s="250">
        <v>1</v>
      </c>
      <c r="K27" s="619">
        <f>+'5. ACTIVIDADES ESPECIALES'!D350</f>
        <v>6500</v>
      </c>
      <c r="L27" s="619"/>
      <c r="M27" s="619"/>
      <c r="N27" s="619"/>
      <c r="O27" s="619"/>
      <c r="P27" s="381">
        <f t="shared" ref="P27" si="8">H27+J27+L27+N27</f>
        <v>1</v>
      </c>
      <c r="Q27" s="382">
        <f t="shared" ref="Q27" si="9">I27+K27+M27+O27</f>
        <v>6500</v>
      </c>
      <c r="R27" s="620" t="s">
        <v>2190</v>
      </c>
      <c r="S27" s="620" t="s">
        <v>1804</v>
      </c>
      <c r="T27" s="620" t="s">
        <v>2191</v>
      </c>
      <c r="U27" s="620" t="s">
        <v>2192</v>
      </c>
    </row>
    <row r="28" spans="1:21" ht="76.5" x14ac:dyDescent="0.25">
      <c r="A28" s="746"/>
      <c r="B28" s="746"/>
      <c r="C28" s="306"/>
      <c r="D28" s="306"/>
      <c r="E28" s="345" t="s">
        <v>2188</v>
      </c>
      <c r="F28" s="306" t="s">
        <v>2239</v>
      </c>
      <c r="G28" s="525" t="s">
        <v>2244</v>
      </c>
      <c r="H28" s="249"/>
      <c r="I28" s="249"/>
      <c r="J28" s="250"/>
      <c r="K28" s="251"/>
      <c r="L28" s="249"/>
      <c r="M28" s="230"/>
      <c r="N28" s="250">
        <v>1</v>
      </c>
      <c r="O28" s="230">
        <f>+'5. ACTIVIDADES ESPECIALES'!D384</f>
        <v>21475</v>
      </c>
      <c r="P28" s="381">
        <f t="shared" ref="P28:P29" si="10">H28+J28+L28+N28</f>
        <v>1</v>
      </c>
      <c r="Q28" s="382">
        <f t="shared" ref="Q28:Q29" si="11">I28+K28+M28+O28</f>
        <v>21475</v>
      </c>
      <c r="R28" s="604" t="s">
        <v>2240</v>
      </c>
      <c r="S28" s="604" t="s">
        <v>2241</v>
      </c>
      <c r="T28" s="604" t="s">
        <v>2242</v>
      </c>
      <c r="U28" s="628" t="s">
        <v>2243</v>
      </c>
    </row>
    <row r="29" spans="1:21" ht="63" x14ac:dyDescent="0.25">
      <c r="A29" s="746"/>
      <c r="B29" s="746"/>
      <c r="C29" s="306"/>
      <c r="D29" s="306"/>
      <c r="E29" s="345" t="s">
        <v>2188</v>
      </c>
      <c r="F29" s="306" t="s">
        <v>2271</v>
      </c>
      <c r="G29" s="345" t="s">
        <v>2270</v>
      </c>
      <c r="H29" s="249"/>
      <c r="I29" s="249"/>
      <c r="J29" s="250"/>
      <c r="K29" s="251"/>
      <c r="L29" s="250">
        <v>1</v>
      </c>
      <c r="M29" s="230">
        <f>+'5. ACTIVIDADES ESPECIALES'!D623</f>
        <v>24300</v>
      </c>
      <c r="N29" s="250"/>
      <c r="O29" s="230"/>
      <c r="P29" s="381">
        <f t="shared" si="10"/>
        <v>1</v>
      </c>
      <c r="Q29" s="382">
        <f t="shared" si="11"/>
        <v>24300</v>
      </c>
      <c r="R29" s="249" t="s">
        <v>2246</v>
      </c>
      <c r="S29" s="253" t="s">
        <v>2272</v>
      </c>
      <c r="T29" s="249" t="s">
        <v>1902</v>
      </c>
      <c r="U29" s="306" t="s">
        <v>2273</v>
      </c>
    </row>
    <row r="30" spans="1:21" ht="110.25" x14ac:dyDescent="0.25">
      <c r="A30" s="746"/>
      <c r="B30" s="553"/>
      <c r="C30" s="306" t="s">
        <v>1537</v>
      </c>
      <c r="D30" s="306" t="s">
        <v>1929</v>
      </c>
      <c r="E30" s="306" t="s">
        <v>1930</v>
      </c>
      <c r="F30" s="306" t="s">
        <v>1923</v>
      </c>
      <c r="G30" s="525" t="s">
        <v>1921</v>
      </c>
      <c r="H30" s="249"/>
      <c r="I30" s="249"/>
      <c r="J30" s="250"/>
      <c r="K30" s="251"/>
      <c r="L30" s="250">
        <v>0.33</v>
      </c>
      <c r="M30" s="584"/>
      <c r="N30" s="250">
        <v>0.67</v>
      </c>
      <c r="O30" s="230"/>
      <c r="P30" s="381"/>
      <c r="Q30" s="382"/>
      <c r="R30" s="580" t="s">
        <v>1922</v>
      </c>
      <c r="S30" s="249" t="s">
        <v>1928</v>
      </c>
      <c r="T30" s="249" t="s">
        <v>1919</v>
      </c>
      <c r="U30" s="306" t="s">
        <v>1927</v>
      </c>
    </row>
    <row r="31" spans="1:21" ht="78.75" x14ac:dyDescent="0.25">
      <c r="A31" s="746"/>
      <c r="B31" s="553"/>
      <c r="C31" s="306"/>
      <c r="D31" s="306" t="s">
        <v>1929</v>
      </c>
      <c r="E31" s="306" t="s">
        <v>2264</v>
      </c>
      <c r="F31" s="306" t="s">
        <v>1925</v>
      </c>
      <c r="G31" s="525" t="s">
        <v>1924</v>
      </c>
      <c r="H31" s="249"/>
      <c r="I31" s="249"/>
      <c r="J31" s="250"/>
      <c r="K31" s="251"/>
      <c r="L31" s="250">
        <v>0.33</v>
      </c>
      <c r="M31" s="584"/>
      <c r="N31" s="250">
        <v>0.67</v>
      </c>
      <c r="O31" s="230"/>
      <c r="P31" s="381"/>
      <c r="Q31" s="382"/>
      <c r="R31" s="580" t="s">
        <v>1926</v>
      </c>
      <c r="S31" s="249" t="s">
        <v>1928</v>
      </c>
      <c r="T31" s="249" t="s">
        <v>1919</v>
      </c>
      <c r="U31" s="306" t="s">
        <v>1927</v>
      </c>
    </row>
    <row r="32" spans="1:21" ht="78.75" x14ac:dyDescent="0.25">
      <c r="A32" s="746"/>
      <c r="B32" s="553"/>
      <c r="C32" s="306"/>
      <c r="D32" s="306" t="s">
        <v>1929</v>
      </c>
      <c r="E32" s="345" t="s">
        <v>2248</v>
      </c>
      <c r="F32" s="306" t="s">
        <v>2265</v>
      </c>
      <c r="G32" s="280" t="s">
        <v>2262</v>
      </c>
      <c r="H32" s="250">
        <v>0.5</v>
      </c>
      <c r="I32" s="249"/>
      <c r="J32" s="250"/>
      <c r="K32" s="251"/>
      <c r="L32" s="250">
        <v>0.5</v>
      </c>
      <c r="M32" s="230"/>
      <c r="N32" s="250"/>
      <c r="O32" s="230"/>
      <c r="P32" s="381"/>
      <c r="Q32" s="382"/>
      <c r="R32" s="249" t="s">
        <v>2246</v>
      </c>
      <c r="S32" s="249" t="s">
        <v>2263</v>
      </c>
      <c r="T32" s="249" t="s">
        <v>1902</v>
      </c>
      <c r="U32" s="630" t="s">
        <v>2261</v>
      </c>
    </row>
    <row r="33" spans="1:21" ht="157.5" x14ac:dyDescent="0.25">
      <c r="A33" s="746"/>
      <c r="B33" s="745" t="s">
        <v>1451</v>
      </c>
      <c r="C33" s="306" t="s">
        <v>1540</v>
      </c>
      <c r="D33" s="306" t="s">
        <v>1900</v>
      </c>
      <c r="E33" s="345" t="s">
        <v>1721</v>
      </c>
      <c r="F33" s="306" t="s">
        <v>1904</v>
      </c>
      <c r="G33" s="525" t="s">
        <v>1899</v>
      </c>
      <c r="H33" s="249"/>
      <c r="I33" s="249"/>
      <c r="J33" s="250"/>
      <c r="K33" s="251"/>
      <c r="L33" s="250">
        <v>1</v>
      </c>
      <c r="M33" s="230">
        <f>+'5. ACTIVIDADES ESPECIALES'!D188</f>
        <v>10000</v>
      </c>
      <c r="N33" s="250"/>
      <c r="O33" s="230"/>
      <c r="P33" s="381">
        <f t="shared" si="0"/>
        <v>1</v>
      </c>
      <c r="Q33" s="382">
        <f t="shared" si="1"/>
        <v>10000</v>
      </c>
      <c r="R33" s="556" t="s">
        <v>1903</v>
      </c>
      <c r="S33" s="249" t="s">
        <v>1901</v>
      </c>
      <c r="T33" s="249" t="s">
        <v>1902</v>
      </c>
      <c r="U33" s="306" t="s">
        <v>1820</v>
      </c>
    </row>
    <row r="34" spans="1:21" ht="63" x14ac:dyDescent="0.25">
      <c r="A34" s="746"/>
      <c r="B34" s="746"/>
      <c r="C34" s="306"/>
      <c r="D34" s="306"/>
      <c r="E34" s="253" t="s">
        <v>2250</v>
      </c>
      <c r="F34" s="306" t="s">
        <v>2249</v>
      </c>
      <c r="G34" s="525" t="s">
        <v>2245</v>
      </c>
      <c r="H34" s="249"/>
      <c r="I34" s="346"/>
      <c r="J34" s="249"/>
      <c r="K34" s="346"/>
      <c r="L34" s="250">
        <v>1</v>
      </c>
      <c r="M34" s="230">
        <f>+'5. ACTIVIDADES ESPECIALES'!D398</f>
        <v>2600</v>
      </c>
      <c r="N34" s="249"/>
      <c r="O34" s="230"/>
      <c r="P34" s="381">
        <f t="shared" ref="P34" si="12">H34+J34+L34+N34</f>
        <v>1</v>
      </c>
      <c r="Q34" s="382">
        <f t="shared" ref="Q34" si="13">I34+K34+M34+O34</f>
        <v>2600</v>
      </c>
      <c r="R34" s="249" t="s">
        <v>2246</v>
      </c>
      <c r="S34" s="249" t="s">
        <v>1901</v>
      </c>
      <c r="T34" s="249" t="s">
        <v>1902</v>
      </c>
      <c r="U34" s="306" t="s">
        <v>2247</v>
      </c>
    </row>
    <row r="35" spans="1:21" ht="141.75" x14ac:dyDescent="0.25">
      <c r="A35" s="746"/>
      <c r="B35" s="746"/>
      <c r="C35" s="306" t="s">
        <v>1542</v>
      </c>
      <c r="D35" s="306"/>
      <c r="E35" s="253" t="s">
        <v>2250</v>
      </c>
      <c r="F35" s="306" t="s">
        <v>2570</v>
      </c>
      <c r="G35" s="345" t="s">
        <v>2568</v>
      </c>
      <c r="H35" s="249"/>
      <c r="I35" s="249"/>
      <c r="J35" s="250"/>
      <c r="K35" s="251"/>
      <c r="L35" s="250">
        <v>1</v>
      </c>
      <c r="M35" s="230">
        <f>+'5. ACTIVIDADES ESPECIALES'!D600</f>
        <v>3600</v>
      </c>
      <c r="N35" s="250"/>
      <c r="O35" s="230"/>
      <c r="P35" s="381">
        <f t="shared" si="0"/>
        <v>1</v>
      </c>
      <c r="Q35" s="382">
        <f t="shared" si="1"/>
        <v>3600</v>
      </c>
      <c r="R35" s="249" t="s">
        <v>2246</v>
      </c>
      <c r="S35" s="249" t="s">
        <v>1901</v>
      </c>
      <c r="T35" s="249" t="s">
        <v>1902</v>
      </c>
      <c r="U35" s="249" t="s">
        <v>2261</v>
      </c>
    </row>
    <row r="36" spans="1:21" ht="126" x14ac:dyDescent="0.25">
      <c r="A36" s="746"/>
      <c r="B36" s="746"/>
      <c r="C36" s="306" t="s">
        <v>1543</v>
      </c>
      <c r="D36" s="306" t="s">
        <v>1916</v>
      </c>
      <c r="E36" s="345" t="s">
        <v>1721</v>
      </c>
      <c r="F36" s="306" t="s">
        <v>1915</v>
      </c>
      <c r="G36" s="530" t="s">
        <v>1920</v>
      </c>
      <c r="H36" s="249"/>
      <c r="I36" s="249"/>
      <c r="J36" s="249"/>
      <c r="K36" s="249"/>
      <c r="L36" s="250">
        <v>1</v>
      </c>
      <c r="M36" s="230"/>
      <c r="N36" s="249"/>
      <c r="O36" s="230"/>
      <c r="P36" s="381">
        <f t="shared" si="0"/>
        <v>1</v>
      </c>
      <c r="Q36" s="382">
        <f t="shared" si="1"/>
        <v>0</v>
      </c>
      <c r="R36" s="556" t="s">
        <v>1917</v>
      </c>
      <c r="S36" s="253" t="s">
        <v>1918</v>
      </c>
      <c r="T36" s="253" t="s">
        <v>1919</v>
      </c>
      <c r="U36" s="306" t="s">
        <v>1820</v>
      </c>
    </row>
    <row r="37" spans="1:21" ht="63" x14ac:dyDescent="0.25">
      <c r="A37" s="746"/>
      <c r="B37" s="747"/>
      <c r="C37" s="306"/>
      <c r="D37" s="306" t="s">
        <v>1916</v>
      </c>
      <c r="E37" s="345" t="s">
        <v>2250</v>
      </c>
      <c r="F37" s="306" t="s">
        <v>2267</v>
      </c>
      <c r="G37" s="253" t="s">
        <v>2266</v>
      </c>
      <c r="H37" s="630"/>
      <c r="I37" s="630"/>
      <c r="J37" s="629"/>
      <c r="K37" s="631"/>
      <c r="L37" s="250">
        <v>1</v>
      </c>
      <c r="M37" s="230">
        <f>+'5. ACTIVIDADES ESPECIALES'!D612</f>
        <v>104454.74925000001</v>
      </c>
      <c r="N37" s="249"/>
      <c r="O37" s="230"/>
      <c r="P37" s="381">
        <f t="shared" ref="P37" si="14">H37+J37+L37+N37</f>
        <v>1</v>
      </c>
      <c r="Q37" s="382">
        <f t="shared" ref="Q37" si="15">I37+K37+M37+O37</f>
        <v>104454.74925000001</v>
      </c>
      <c r="R37" s="249" t="s">
        <v>2268</v>
      </c>
      <c r="S37" s="249" t="s">
        <v>2269</v>
      </c>
      <c r="T37" s="249" t="s">
        <v>2260</v>
      </c>
      <c r="U37" s="249" t="s">
        <v>2261</v>
      </c>
    </row>
    <row r="38" spans="1:21" ht="94.5" x14ac:dyDescent="0.25">
      <c r="A38" s="746"/>
      <c r="B38" s="748" t="s">
        <v>1498</v>
      </c>
      <c r="C38" s="248" t="s">
        <v>1545</v>
      </c>
      <c r="D38" s="622" t="s">
        <v>2199</v>
      </c>
      <c r="E38" s="306" t="s">
        <v>1805</v>
      </c>
      <c r="F38" s="306" t="s">
        <v>2200</v>
      </c>
      <c r="G38" s="621" t="s">
        <v>2198</v>
      </c>
      <c r="H38" s="249"/>
      <c r="I38" s="249"/>
      <c r="J38" s="205"/>
      <c r="K38" s="249"/>
      <c r="L38" s="250">
        <v>1</v>
      </c>
      <c r="M38" s="230"/>
      <c r="N38" s="249"/>
      <c r="O38" s="230"/>
      <c r="P38" s="381">
        <f t="shared" si="0"/>
        <v>1</v>
      </c>
      <c r="Q38" s="382">
        <f t="shared" si="1"/>
        <v>0</v>
      </c>
      <c r="R38" s="556" t="s">
        <v>2201</v>
      </c>
      <c r="S38" s="249" t="s">
        <v>2050</v>
      </c>
      <c r="T38" s="249" t="s">
        <v>2202</v>
      </c>
      <c r="U38" s="306" t="s">
        <v>2203</v>
      </c>
    </row>
    <row r="39" spans="1:21" ht="94.5" x14ac:dyDescent="0.25">
      <c r="A39" s="746"/>
      <c r="B39" s="748"/>
      <c r="C39" s="248"/>
      <c r="D39" s="623"/>
      <c r="E39" s="306" t="s">
        <v>1805</v>
      </c>
      <c r="F39" s="306" t="s">
        <v>2292</v>
      </c>
      <c r="G39" s="525" t="s">
        <v>2566</v>
      </c>
      <c r="H39" s="249"/>
      <c r="I39" s="249"/>
      <c r="J39" s="205"/>
      <c r="K39" s="249"/>
      <c r="L39" s="250">
        <v>1</v>
      </c>
      <c r="M39" s="230"/>
      <c r="N39" s="249"/>
      <c r="O39" s="230"/>
      <c r="P39" s="381">
        <f t="shared" si="0"/>
        <v>1</v>
      </c>
      <c r="Q39" s="382">
        <f t="shared" si="1"/>
        <v>0</v>
      </c>
      <c r="R39" s="556" t="s">
        <v>2201</v>
      </c>
      <c r="S39" s="249" t="s">
        <v>2050</v>
      </c>
      <c r="T39" s="249" t="s">
        <v>2202</v>
      </c>
      <c r="U39" s="306" t="s">
        <v>2293</v>
      </c>
    </row>
    <row r="40" spans="1:21" ht="47.25" x14ac:dyDescent="0.25">
      <c r="A40" s="746"/>
      <c r="B40" s="748"/>
      <c r="C40" s="248"/>
      <c r="D40" s="623"/>
      <c r="E40" s="306" t="s">
        <v>1805</v>
      </c>
      <c r="F40" s="306" t="s">
        <v>2574</v>
      </c>
      <c r="G40" s="306" t="s">
        <v>2567</v>
      </c>
      <c r="H40" s="249"/>
      <c r="I40" s="249"/>
      <c r="J40" s="205"/>
      <c r="K40" s="249"/>
      <c r="L40" s="250">
        <v>1</v>
      </c>
      <c r="M40" s="230">
        <f>+L40*'5. ACTIVIDADES ESPECIALES'!D638</f>
        <v>8000</v>
      </c>
      <c r="N40" s="249"/>
      <c r="O40" s="230"/>
      <c r="P40" s="381">
        <f t="shared" si="0"/>
        <v>1</v>
      </c>
      <c r="Q40" s="382">
        <f t="shared" si="1"/>
        <v>8000</v>
      </c>
      <c r="R40" s="249"/>
      <c r="S40" s="249"/>
      <c r="T40" s="249"/>
      <c r="U40" s="306"/>
    </row>
    <row r="41" spans="1:21" ht="15.75" x14ac:dyDescent="0.25">
      <c r="A41" s="746"/>
      <c r="B41" s="748" t="s">
        <v>1452</v>
      </c>
      <c r="C41" s="248"/>
      <c r="D41" s="248"/>
      <c r="E41" s="306"/>
      <c r="F41" s="306"/>
      <c r="G41" s="306"/>
      <c r="H41" s="249"/>
      <c r="I41" s="249"/>
      <c r="J41" s="205"/>
      <c r="K41" s="249"/>
      <c r="L41" s="249"/>
      <c r="M41" s="230"/>
      <c r="N41" s="249"/>
      <c r="O41" s="230"/>
      <c r="P41" s="381">
        <f t="shared" si="0"/>
        <v>0</v>
      </c>
      <c r="Q41" s="382">
        <f t="shared" si="1"/>
        <v>0</v>
      </c>
      <c r="R41" s="249"/>
      <c r="S41" s="249"/>
      <c r="T41" s="249"/>
      <c r="U41" s="306"/>
    </row>
    <row r="42" spans="1:21" ht="15.75" x14ac:dyDescent="0.25">
      <c r="A42" s="746"/>
      <c r="B42" s="748"/>
      <c r="C42" s="306"/>
      <c r="D42" s="306"/>
      <c r="E42" s="306"/>
      <c r="F42" s="306"/>
      <c r="G42" s="306"/>
      <c r="H42" s="249"/>
      <c r="I42" s="249"/>
      <c r="J42" s="205"/>
      <c r="K42" s="249"/>
      <c r="L42" s="249"/>
      <c r="M42" s="230"/>
      <c r="N42" s="249"/>
      <c r="O42" s="230"/>
      <c r="P42" s="381">
        <f t="shared" si="0"/>
        <v>0</v>
      </c>
      <c r="Q42" s="382">
        <f t="shared" si="1"/>
        <v>0</v>
      </c>
      <c r="R42" s="249"/>
      <c r="S42" s="249"/>
      <c r="T42" s="249"/>
      <c r="U42" s="306"/>
    </row>
    <row r="43" spans="1:21" ht="15.75" x14ac:dyDescent="0.25">
      <c r="A43" s="746"/>
      <c r="B43" s="748"/>
      <c r="C43" s="306"/>
      <c r="D43" s="306"/>
      <c r="E43" s="306"/>
      <c r="F43" s="306"/>
      <c r="G43" s="306"/>
      <c r="H43" s="249"/>
      <c r="I43" s="249"/>
      <c r="J43" s="205"/>
      <c r="K43" s="249"/>
      <c r="L43" s="249"/>
      <c r="M43" s="230"/>
      <c r="N43" s="249"/>
      <c r="O43" s="230"/>
      <c r="P43" s="381">
        <f t="shared" si="0"/>
        <v>0</v>
      </c>
      <c r="Q43" s="382">
        <f t="shared" si="1"/>
        <v>0</v>
      </c>
      <c r="R43" s="249"/>
      <c r="S43" s="249"/>
      <c r="T43" s="249"/>
      <c r="U43" s="306"/>
    </row>
    <row r="44" spans="1:21" ht="15.75" x14ac:dyDescent="0.25">
      <c r="A44" s="746"/>
      <c r="B44" s="748"/>
      <c r="C44" s="306"/>
      <c r="D44" s="306"/>
      <c r="E44" s="306"/>
      <c r="F44" s="306"/>
      <c r="G44" s="306"/>
      <c r="H44" s="249"/>
      <c r="I44" s="249"/>
      <c r="J44" s="205"/>
      <c r="K44" s="249"/>
      <c r="L44" s="249"/>
      <c r="M44" s="230"/>
      <c r="N44" s="249"/>
      <c r="O44" s="230"/>
      <c r="P44" s="381">
        <f t="shared" si="0"/>
        <v>0</v>
      </c>
      <c r="Q44" s="382">
        <f t="shared" si="1"/>
        <v>0</v>
      </c>
      <c r="R44" s="249"/>
      <c r="S44" s="249"/>
      <c r="T44" s="249"/>
      <c r="U44" s="306"/>
    </row>
    <row r="45" spans="1:21" ht="15.75" x14ac:dyDescent="0.25">
      <c r="A45" s="746"/>
      <c r="B45" s="748"/>
      <c r="C45" s="306"/>
      <c r="D45" s="306"/>
      <c r="E45" s="306"/>
      <c r="F45" s="306"/>
      <c r="G45" s="306"/>
      <c r="H45" s="249"/>
      <c r="I45" s="249"/>
      <c r="J45" s="205"/>
      <c r="K45" s="249"/>
      <c r="L45" s="249"/>
      <c r="M45" s="230"/>
      <c r="N45" s="249"/>
      <c r="O45" s="230"/>
      <c r="P45" s="381">
        <f t="shared" si="0"/>
        <v>0</v>
      </c>
      <c r="Q45" s="382">
        <f t="shared" si="1"/>
        <v>0</v>
      </c>
      <c r="R45" s="249"/>
      <c r="S45" s="249"/>
      <c r="T45" s="249"/>
      <c r="U45" s="306"/>
    </row>
    <row r="46" spans="1:21" ht="15.75" x14ac:dyDescent="0.25">
      <c r="A46" s="746"/>
      <c r="B46" s="748"/>
      <c r="C46" s="306"/>
      <c r="D46" s="306"/>
      <c r="E46" s="306"/>
      <c r="F46" s="306"/>
      <c r="G46" s="306"/>
      <c r="H46" s="249"/>
      <c r="I46" s="249"/>
      <c r="J46" s="205"/>
      <c r="K46" s="249"/>
      <c r="L46" s="249"/>
      <c r="M46" s="230"/>
      <c r="N46" s="249"/>
      <c r="O46" s="230"/>
      <c r="P46" s="381">
        <f t="shared" si="0"/>
        <v>0</v>
      </c>
      <c r="Q46" s="382">
        <f t="shared" si="1"/>
        <v>0</v>
      </c>
      <c r="R46" s="249"/>
      <c r="S46" s="249"/>
      <c r="T46" s="249"/>
      <c r="U46" s="306"/>
    </row>
    <row r="47" spans="1:21" ht="15.75" x14ac:dyDescent="0.25">
      <c r="A47" s="746"/>
      <c r="B47" s="748"/>
      <c r="C47" s="306"/>
      <c r="D47" s="306"/>
      <c r="E47" s="306"/>
      <c r="F47" s="306"/>
      <c r="G47" s="306"/>
      <c r="H47" s="249"/>
      <c r="I47" s="249"/>
      <c r="J47" s="205"/>
      <c r="K47" s="249"/>
      <c r="L47" s="249"/>
      <c r="M47" s="230"/>
      <c r="N47" s="249"/>
      <c r="O47" s="230"/>
      <c r="P47" s="381">
        <f t="shared" si="0"/>
        <v>0</v>
      </c>
      <c r="Q47" s="382">
        <f t="shared" si="1"/>
        <v>0</v>
      </c>
      <c r="R47" s="249"/>
      <c r="S47" s="249"/>
      <c r="T47" s="249"/>
      <c r="U47" s="306"/>
    </row>
    <row r="48" spans="1:21" ht="15.75" x14ac:dyDescent="0.25">
      <c r="A48" s="746"/>
      <c r="B48" s="748"/>
      <c r="C48" s="306"/>
      <c r="D48" s="306"/>
      <c r="E48" s="306"/>
      <c r="F48" s="306"/>
      <c r="G48" s="306"/>
      <c r="H48" s="249"/>
      <c r="I48" s="249"/>
      <c r="J48" s="205"/>
      <c r="K48" s="249"/>
      <c r="L48" s="249"/>
      <c r="M48" s="230"/>
      <c r="N48" s="249"/>
      <c r="O48" s="230"/>
      <c r="P48" s="381">
        <f t="shared" si="0"/>
        <v>0</v>
      </c>
      <c r="Q48" s="382">
        <f t="shared" si="1"/>
        <v>0</v>
      </c>
      <c r="R48" s="249"/>
      <c r="S48" s="249"/>
      <c r="T48" s="249"/>
      <c r="U48" s="306"/>
    </row>
    <row r="49" spans="1:21" ht="15.75" x14ac:dyDescent="0.25">
      <c r="A49" s="291"/>
      <c r="B49" s="292"/>
      <c r="C49" s="291" t="s">
        <v>1378</v>
      </c>
      <c r="D49" s="292"/>
      <c r="E49" s="292"/>
      <c r="F49" s="292"/>
      <c r="G49" s="293"/>
      <c r="H49" s="254">
        <f t="shared" ref="H49:O49" si="16">SUM(H8:H48)</f>
        <v>1</v>
      </c>
      <c r="I49" s="254">
        <f t="shared" si="16"/>
        <v>0</v>
      </c>
      <c r="J49" s="254">
        <f t="shared" si="16"/>
        <v>16</v>
      </c>
      <c r="K49" s="254">
        <f t="shared" si="16"/>
        <v>6500</v>
      </c>
      <c r="L49" s="254">
        <f t="shared" si="16"/>
        <v>11.66</v>
      </c>
      <c r="M49" s="254">
        <f t="shared" si="16"/>
        <v>152954.74924999999</v>
      </c>
      <c r="N49" s="254">
        <f t="shared" si="16"/>
        <v>3.34</v>
      </c>
      <c r="O49" s="254">
        <f t="shared" si="16"/>
        <v>21475</v>
      </c>
      <c r="P49" s="254">
        <f>SUM(P8:P48)</f>
        <v>29</v>
      </c>
      <c r="Q49" s="254">
        <f>SUM(Q8:Q48)</f>
        <v>180929.74924999999</v>
      </c>
      <c r="R49" s="255"/>
      <c r="S49" s="255"/>
      <c r="T49" s="255"/>
      <c r="U49" s="255"/>
    </row>
    <row r="50" spans="1:21" ht="15.75" x14ac:dyDescent="0.25">
      <c r="A50" s="256"/>
      <c r="B50" s="257"/>
      <c r="C50" s="257"/>
      <c r="D50" s="257"/>
      <c r="E50" s="257"/>
      <c r="F50" s="258"/>
      <c r="G50" s="257"/>
      <c r="H50" s="257"/>
      <c r="I50" s="257"/>
      <c r="J50" s="257"/>
      <c r="K50" s="257"/>
      <c r="L50" s="257"/>
      <c r="M50" s="257"/>
      <c r="N50" s="257"/>
      <c r="O50" s="257"/>
      <c r="P50" s="384"/>
      <c r="Q50" s="384"/>
      <c r="R50" s="257"/>
      <c r="S50" s="257"/>
      <c r="T50" s="257"/>
      <c r="U50" s="257"/>
    </row>
    <row r="51" spans="1:21" ht="15.75" x14ac:dyDescent="0.25">
      <c r="A51" s="256"/>
      <c r="B51" s="257"/>
      <c r="C51" s="257"/>
      <c r="D51" s="257"/>
      <c r="E51" s="257"/>
      <c r="F51" s="258"/>
      <c r="G51" s="257"/>
      <c r="H51" s="257"/>
      <c r="I51" s="257"/>
      <c r="J51" s="257"/>
      <c r="K51" s="257"/>
      <c r="L51" s="257"/>
      <c r="M51" s="257"/>
      <c r="N51" s="257"/>
      <c r="O51" s="257"/>
      <c r="P51" s="384"/>
      <c r="Q51" s="384"/>
      <c r="R51" s="257"/>
      <c r="S51" s="257"/>
      <c r="T51" s="257"/>
      <c r="U51" s="257"/>
    </row>
    <row r="52" spans="1:21" ht="15.75" x14ac:dyDescent="0.25">
      <c r="A52" s="256"/>
      <c r="B52" s="257"/>
      <c r="C52" s="257"/>
      <c r="D52" s="257"/>
      <c r="E52" s="257"/>
      <c r="F52" s="258"/>
      <c r="G52" s="257"/>
      <c r="H52" s="257"/>
      <c r="I52" s="257"/>
      <c r="J52" s="257"/>
      <c r="K52" s="257"/>
      <c r="L52" s="257"/>
      <c r="M52" s="257"/>
      <c r="N52" s="257"/>
      <c r="O52" s="257"/>
      <c r="P52" s="384"/>
      <c r="Q52" s="384"/>
      <c r="R52" s="257"/>
      <c r="S52" s="257"/>
      <c r="T52" s="257"/>
      <c r="U52" s="257"/>
    </row>
    <row r="53" spans="1:21" ht="15.75" x14ac:dyDescent="0.25">
      <c r="A53" s="256"/>
      <c r="B53" s="257"/>
      <c r="C53" s="257"/>
      <c r="D53" s="257"/>
      <c r="E53" s="257"/>
      <c r="F53" s="258"/>
      <c r="G53" s="257"/>
      <c r="H53" s="257"/>
      <c r="I53" s="257"/>
      <c r="J53" s="257"/>
      <c r="K53" s="257"/>
      <c r="L53" s="257"/>
      <c r="M53" s="257"/>
      <c r="N53" s="257"/>
      <c r="O53" s="257"/>
      <c r="P53" s="384"/>
      <c r="Q53" s="384"/>
      <c r="R53" s="257"/>
      <c r="S53" s="257"/>
      <c r="T53" s="257"/>
      <c r="U53" s="257"/>
    </row>
    <row r="54" spans="1:21" ht="15.75" x14ac:dyDescent="0.25">
      <c r="A54" s="256"/>
      <c r="B54" s="257"/>
      <c r="C54" s="257"/>
      <c r="D54" s="257"/>
      <c r="E54" s="257"/>
      <c r="F54" s="258"/>
      <c r="G54" s="257"/>
      <c r="H54" s="257"/>
      <c r="I54" s="257"/>
      <c r="J54" s="257"/>
      <c r="K54" s="257"/>
      <c r="L54" s="257"/>
      <c r="M54" s="257"/>
      <c r="N54" s="257"/>
      <c r="O54" s="257"/>
      <c r="P54" s="384"/>
      <c r="Q54" s="384"/>
      <c r="R54" s="257"/>
      <c r="S54" s="257"/>
      <c r="T54" s="257"/>
      <c r="U54" s="257"/>
    </row>
    <row r="55" spans="1:21" ht="15.75" x14ac:dyDescent="0.25">
      <c r="A55" s="256"/>
      <c r="B55" s="257"/>
      <c r="C55" s="257"/>
      <c r="D55" s="257"/>
      <c r="E55" s="257"/>
      <c r="F55" s="258"/>
      <c r="G55" s="257"/>
      <c r="H55" s="257"/>
      <c r="I55" s="257"/>
      <c r="J55" s="257"/>
      <c r="K55" s="257"/>
      <c r="L55" s="257"/>
      <c r="M55" s="257"/>
      <c r="N55" s="257"/>
      <c r="O55" s="257"/>
      <c r="P55" s="384"/>
      <c r="Q55" s="384"/>
      <c r="R55" s="257"/>
      <c r="S55" s="257"/>
      <c r="T55" s="257"/>
      <c r="U55" s="257"/>
    </row>
    <row r="56" spans="1:21" ht="15" x14ac:dyDescent="0.25">
      <c r="C56" s="508"/>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row r="135" spans="1:6" x14ac:dyDescent="0.25">
      <c r="A135" s="252"/>
      <c r="F135" s="252"/>
    </row>
    <row r="136" spans="1:6" x14ac:dyDescent="0.25">
      <c r="A136" s="252"/>
      <c r="F136" s="252"/>
    </row>
  </sheetData>
  <mergeCells count="22">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8"/>
    <mergeCell ref="B33:B37"/>
    <mergeCell ref="C4:C6"/>
    <mergeCell ref="B8:B29"/>
    <mergeCell ref="B38:B40"/>
    <mergeCell ref="B41:B4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8">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8"/>
  <sheetViews>
    <sheetView showGridLines="0" topLeftCell="E1" zoomScale="70" zoomScaleNormal="70" workbookViewId="0">
      <pane ySplit="7" topLeftCell="A33" activePane="bottomLeft" state="frozen"/>
      <selection activeCell="A7" sqref="A7"/>
      <selection pane="bottomLeft" activeCell="G33" sqref="G33"/>
    </sheetView>
  </sheetViews>
  <sheetFormatPr baseColWidth="10" defaultColWidth="11.42578125" defaultRowHeight="12.75" x14ac:dyDescent="0.25"/>
  <cols>
    <col min="1" max="1" width="25.5703125" style="261" customWidth="1"/>
    <col min="2" max="2" width="38.5703125" style="261" customWidth="1"/>
    <col min="3" max="5" width="27.42578125" style="261" customWidth="1"/>
    <col min="6" max="6" width="27.42578125" style="260" customWidth="1"/>
    <col min="7" max="7" width="27.42578125" style="261" customWidth="1"/>
    <col min="8" max="8" width="15.28515625" style="261" customWidth="1"/>
    <col min="9" max="9" width="16" style="261" customWidth="1"/>
    <col min="10" max="10" width="15.28515625" style="261" customWidth="1"/>
    <col min="11" max="11" width="18.5703125" style="261" customWidth="1"/>
    <col min="12" max="12" width="15.28515625" style="261" customWidth="1"/>
    <col min="13" max="13" width="15.85546875" style="261" customWidth="1"/>
    <col min="14" max="14" width="15.28515625" style="261" customWidth="1"/>
    <col min="15" max="15" width="15" style="261" customWidth="1"/>
    <col min="16" max="16" width="15.28515625" style="261" customWidth="1"/>
    <col min="17" max="17" width="17" style="261" bestFit="1" customWidth="1"/>
    <col min="18" max="18" width="19.85546875" style="261" customWidth="1"/>
    <col min="19" max="20" width="14.28515625" style="259" customWidth="1"/>
    <col min="21" max="21" width="17" style="261" customWidth="1"/>
    <col min="22" max="16384" width="11.42578125" style="261"/>
  </cols>
  <sheetData>
    <row r="1" spans="1:36" ht="18.75" customHeight="1" x14ac:dyDescent="0.25">
      <c r="F1" s="288"/>
      <c r="H1" s="283" t="s">
        <v>90</v>
      </c>
      <c r="J1" s="283"/>
      <c r="K1" s="283"/>
      <c r="L1" s="283"/>
      <c r="M1" s="510" t="s">
        <v>1572</v>
      </c>
      <c r="N1" s="510" t="s">
        <v>1571</v>
      </c>
      <c r="O1" s="510" t="s">
        <v>1570</v>
      </c>
      <c r="P1" s="510" t="s">
        <v>1569</v>
      </c>
      <c r="Q1" s="510" t="s">
        <v>1568</v>
      </c>
      <c r="R1" s="510" t="s">
        <v>1567</v>
      </c>
      <c r="S1" s="510" t="s">
        <v>1566</v>
      </c>
      <c r="T1" s="510" t="s">
        <v>1565</v>
      </c>
      <c r="U1" s="510" t="s">
        <v>1564</v>
      </c>
      <c r="V1" s="510" t="s">
        <v>1549</v>
      </c>
      <c r="W1" s="510" t="s">
        <v>1550</v>
      </c>
      <c r="X1" s="510" t="s">
        <v>1551</v>
      </c>
      <c r="Y1" s="510" t="s">
        <v>1552</v>
      </c>
      <c r="Z1" s="510" t="s">
        <v>1553</v>
      </c>
      <c r="AA1" s="510" t="s">
        <v>1554</v>
      </c>
      <c r="AB1" s="510" t="s">
        <v>1555</v>
      </c>
      <c r="AC1" s="510" t="s">
        <v>1556</v>
      </c>
      <c r="AD1" s="510" t="s">
        <v>1557</v>
      </c>
      <c r="AE1" s="510" t="s">
        <v>1558</v>
      </c>
      <c r="AF1" s="510" t="s">
        <v>1559</v>
      </c>
      <c r="AG1" s="510" t="s">
        <v>1560</v>
      </c>
      <c r="AH1" s="510" t="s">
        <v>1561</v>
      </c>
      <c r="AI1" s="510" t="s">
        <v>1562</v>
      </c>
      <c r="AJ1" s="510" t="s">
        <v>1563</v>
      </c>
    </row>
    <row r="2" spans="1:36" ht="18.75" x14ac:dyDescent="0.25">
      <c r="A2" s="267" t="s">
        <v>1347</v>
      </c>
      <c r="F2" s="288"/>
      <c r="H2" s="283"/>
      <c r="J2" s="283"/>
      <c r="K2" s="283"/>
      <c r="L2" s="283"/>
      <c r="M2" s="283"/>
      <c r="N2" s="283"/>
      <c r="O2" s="283"/>
      <c r="P2" s="283"/>
      <c r="Q2" s="283"/>
      <c r="R2" s="283"/>
      <c r="S2" s="283"/>
      <c r="T2" s="283"/>
      <c r="U2" s="283"/>
      <c r="V2" s="283"/>
      <c r="W2" s="283"/>
      <c r="X2" s="283"/>
      <c r="Y2" s="283"/>
      <c r="Z2" s="283"/>
      <c r="AA2" s="283"/>
    </row>
    <row r="3" spans="1:36" ht="18.75" x14ac:dyDescent="0.25">
      <c r="A3" s="316" t="s">
        <v>1467</v>
      </c>
      <c r="F3" s="288"/>
      <c r="H3" s="283"/>
      <c r="J3" s="283"/>
      <c r="K3" s="283"/>
      <c r="L3" s="283"/>
      <c r="M3" s="283"/>
      <c r="N3" s="283"/>
      <c r="O3" s="283"/>
      <c r="P3" s="283"/>
      <c r="Q3" s="283"/>
      <c r="R3" s="283"/>
      <c r="S3" s="283"/>
      <c r="T3" s="283"/>
      <c r="U3" s="283"/>
      <c r="V3" s="283"/>
      <c r="W3" s="283"/>
      <c r="X3" s="283"/>
      <c r="Y3" s="283"/>
      <c r="Z3" s="283"/>
      <c r="AA3" s="283"/>
    </row>
    <row r="4" spans="1:36" ht="15" x14ac:dyDescent="0.25">
      <c r="A4" s="371" t="s">
        <v>1468</v>
      </c>
      <c r="B4" s="267"/>
      <c r="C4" s="267"/>
      <c r="D4" s="267"/>
      <c r="E4" s="267"/>
      <c r="F4" s="247"/>
      <c r="G4" s="267"/>
      <c r="H4" s="267"/>
      <c r="I4" s="267"/>
      <c r="J4" s="267"/>
      <c r="K4" s="267"/>
      <c r="L4" s="267"/>
      <c r="M4" s="267"/>
      <c r="N4" s="267"/>
      <c r="O4" s="267"/>
      <c r="P4" s="267"/>
      <c r="Q4" s="267"/>
      <c r="R4" s="267"/>
      <c r="S4" s="267"/>
      <c r="T4" s="267"/>
      <c r="U4" s="267"/>
    </row>
    <row r="5" spans="1:36" s="66" customFormat="1" ht="23.25" customHeight="1" x14ac:dyDescent="0.25">
      <c r="A5" s="720" t="s">
        <v>96</v>
      </c>
      <c r="B5" s="722" t="s">
        <v>110</v>
      </c>
      <c r="C5" s="732" t="s">
        <v>1530</v>
      </c>
      <c r="D5" s="732" t="s">
        <v>1531</v>
      </c>
      <c r="E5" s="732" t="s">
        <v>86</v>
      </c>
      <c r="F5" s="732" t="s">
        <v>391</v>
      </c>
      <c r="G5" s="732" t="s">
        <v>87</v>
      </c>
      <c r="H5" s="735" t="s">
        <v>99</v>
      </c>
      <c r="I5" s="737"/>
      <c r="J5" s="737"/>
      <c r="K5" s="737"/>
      <c r="L5" s="737"/>
      <c r="M5" s="737"/>
      <c r="N5" s="737"/>
      <c r="O5" s="736"/>
      <c r="P5" s="741" t="s">
        <v>100</v>
      </c>
      <c r="Q5" s="742"/>
      <c r="R5" s="722" t="s">
        <v>102</v>
      </c>
      <c r="S5" s="722" t="s">
        <v>109</v>
      </c>
      <c r="T5" s="722" t="s">
        <v>108</v>
      </c>
      <c r="U5" s="738" t="s">
        <v>88</v>
      </c>
    </row>
    <row r="6" spans="1:36" s="66" customFormat="1" ht="15" customHeight="1" x14ac:dyDescent="0.25">
      <c r="A6" s="720"/>
      <c r="B6" s="720"/>
      <c r="C6" s="733"/>
      <c r="D6" s="733"/>
      <c r="E6" s="733"/>
      <c r="F6" s="733"/>
      <c r="G6" s="733"/>
      <c r="H6" s="735" t="s">
        <v>103</v>
      </c>
      <c r="I6" s="736"/>
      <c r="J6" s="735" t="s">
        <v>104</v>
      </c>
      <c r="K6" s="736"/>
      <c r="L6" s="735" t="s">
        <v>105</v>
      </c>
      <c r="M6" s="736"/>
      <c r="N6" s="735" t="s">
        <v>106</v>
      </c>
      <c r="O6" s="736"/>
      <c r="P6" s="743"/>
      <c r="Q6" s="744"/>
      <c r="R6" s="720"/>
      <c r="S6" s="720"/>
      <c r="T6" s="720"/>
      <c r="U6" s="739"/>
    </row>
    <row r="7" spans="1:36" s="66" customFormat="1" ht="24" customHeight="1" x14ac:dyDescent="0.25">
      <c r="A7" s="721"/>
      <c r="B7" s="721"/>
      <c r="C7" s="734"/>
      <c r="D7" s="734"/>
      <c r="E7" s="734"/>
      <c r="F7" s="734"/>
      <c r="G7" s="734"/>
      <c r="H7" s="440" t="s">
        <v>107</v>
      </c>
      <c r="I7" s="440" t="s">
        <v>12</v>
      </c>
      <c r="J7" s="440" t="s">
        <v>107</v>
      </c>
      <c r="K7" s="440" t="s">
        <v>12</v>
      </c>
      <c r="L7" s="440" t="s">
        <v>107</v>
      </c>
      <c r="M7" s="440" t="s">
        <v>12</v>
      </c>
      <c r="N7" s="440" t="s">
        <v>107</v>
      </c>
      <c r="O7" s="440" t="s">
        <v>12</v>
      </c>
      <c r="P7" s="440" t="s">
        <v>107</v>
      </c>
      <c r="Q7" s="440" t="s">
        <v>12</v>
      </c>
      <c r="R7" s="721"/>
      <c r="S7" s="721"/>
      <c r="T7" s="721"/>
      <c r="U7" s="740"/>
    </row>
    <row r="8" spans="1:36" ht="15.75" customHeight="1" x14ac:dyDescent="0.25">
      <c r="A8" s="441"/>
      <c r="B8" s="442"/>
      <c r="C8" s="443"/>
      <c r="D8" s="443"/>
      <c r="E8" s="443"/>
      <c r="F8" s="444"/>
      <c r="G8" s="443"/>
      <c r="H8" s="445"/>
      <c r="I8" s="445"/>
      <c r="J8" s="445"/>
      <c r="K8" s="445"/>
      <c r="L8" s="445"/>
      <c r="M8" s="445"/>
      <c r="N8" s="445"/>
      <c r="O8" s="445"/>
      <c r="P8" s="445"/>
      <c r="Q8" s="445"/>
      <c r="R8" s="446"/>
      <c r="S8" s="446"/>
      <c r="T8" s="446"/>
      <c r="U8" s="447"/>
    </row>
    <row r="9" spans="1:36" ht="15.75" x14ac:dyDescent="0.25">
      <c r="A9" s="753" t="s">
        <v>1454</v>
      </c>
      <c r="B9" s="748" t="s">
        <v>1453</v>
      </c>
      <c r="C9" s="306"/>
      <c r="D9" s="306"/>
      <c r="E9" s="249"/>
      <c r="F9" s="306"/>
      <c r="G9" s="306"/>
      <c r="H9" s="250"/>
      <c r="I9" s="348"/>
      <c r="J9" s="350"/>
      <c r="K9" s="348"/>
      <c r="L9" s="350"/>
      <c r="M9" s="348"/>
      <c r="N9" s="350"/>
      <c r="O9" s="348"/>
      <c r="P9" s="386">
        <f t="shared" ref="P9:P26" si="0">H9+J9+L9+N9</f>
        <v>0</v>
      </c>
      <c r="Q9" s="387">
        <f t="shared" ref="Q9:Q26" si="1">I9+K9+M9+O9</f>
        <v>0</v>
      </c>
      <c r="R9" s="348"/>
      <c r="S9" s="249"/>
      <c r="T9" s="249"/>
      <c r="U9" s="249"/>
    </row>
    <row r="10" spans="1:36" ht="15.75" x14ac:dyDescent="0.25">
      <c r="A10" s="754"/>
      <c r="B10" s="748"/>
      <c r="C10" s="306"/>
      <c r="D10" s="306"/>
      <c r="E10" s="249"/>
      <c r="F10" s="306"/>
      <c r="G10" s="306"/>
      <c r="H10" s="250"/>
      <c r="I10" s="348"/>
      <c r="J10" s="350"/>
      <c r="K10" s="348"/>
      <c r="L10" s="350"/>
      <c r="M10" s="348"/>
      <c r="N10" s="350"/>
      <c r="O10" s="348"/>
      <c r="P10" s="386">
        <f t="shared" si="0"/>
        <v>0</v>
      </c>
      <c r="Q10" s="387">
        <f t="shared" si="1"/>
        <v>0</v>
      </c>
      <c r="R10" s="348"/>
      <c r="S10" s="249"/>
      <c r="T10" s="249"/>
      <c r="U10" s="249"/>
    </row>
    <row r="11" spans="1:36" ht="94.5" x14ac:dyDescent="0.25">
      <c r="A11" s="746"/>
      <c r="B11" s="626"/>
      <c r="C11" s="306" t="s">
        <v>1571</v>
      </c>
      <c r="D11" s="520" t="s">
        <v>1697</v>
      </c>
      <c r="E11" s="249" t="s">
        <v>1936</v>
      </c>
      <c r="F11" s="306" t="s">
        <v>1937</v>
      </c>
      <c r="G11" s="525" t="s">
        <v>1931</v>
      </c>
      <c r="H11" s="250">
        <v>1</v>
      </c>
      <c r="I11" s="348"/>
      <c r="J11" s="350"/>
      <c r="K11" s="348"/>
      <c r="L11" s="350"/>
      <c r="M11" s="348"/>
      <c r="N11" s="350"/>
      <c r="O11" s="348"/>
      <c r="P11" s="386">
        <f t="shared" si="0"/>
        <v>1</v>
      </c>
      <c r="Q11" s="387">
        <f t="shared" si="1"/>
        <v>0</v>
      </c>
      <c r="R11" s="556" t="s">
        <v>1932</v>
      </c>
      <c r="S11" s="249" t="s">
        <v>1933</v>
      </c>
      <c r="T11" s="249" t="s">
        <v>1934</v>
      </c>
      <c r="U11" s="249" t="s">
        <v>1935</v>
      </c>
    </row>
    <row r="12" spans="1:36" ht="15.75" x14ac:dyDescent="0.25">
      <c r="A12" s="746"/>
      <c r="B12" s="745" t="s">
        <v>1455</v>
      </c>
      <c r="C12" s="306"/>
      <c r="D12" s="306"/>
      <c r="E12" s="249"/>
      <c r="F12" s="306"/>
      <c r="H12" s="250"/>
      <c r="I12" s="349"/>
      <c r="J12" s="350"/>
      <c r="K12" s="349"/>
      <c r="L12" s="350"/>
      <c r="M12" s="349"/>
      <c r="N12" s="350"/>
      <c r="O12" s="349"/>
      <c r="P12" s="386">
        <f t="shared" si="0"/>
        <v>0</v>
      </c>
      <c r="Q12" s="388">
        <f t="shared" si="1"/>
        <v>0</v>
      </c>
      <c r="R12" s="347"/>
      <c r="S12" s="249"/>
      <c r="T12" s="249"/>
      <c r="U12" s="249"/>
    </row>
    <row r="13" spans="1:36" ht="15.75" x14ac:dyDescent="0.25">
      <c r="A13" s="746"/>
      <c r="B13" s="746"/>
      <c r="C13" s="306"/>
      <c r="D13" s="306"/>
      <c r="E13" s="249"/>
      <c r="F13" s="306"/>
      <c r="G13" s="306"/>
      <c r="H13" s="250"/>
      <c r="I13" s="349"/>
      <c r="J13" s="350"/>
      <c r="K13" s="349"/>
      <c r="L13" s="350"/>
      <c r="M13" s="349"/>
      <c r="N13" s="350"/>
      <c r="O13" s="349"/>
      <c r="P13" s="386">
        <f t="shared" si="0"/>
        <v>0</v>
      </c>
      <c r="Q13" s="388">
        <f t="shared" si="1"/>
        <v>0</v>
      </c>
      <c r="R13" s="347"/>
      <c r="S13" s="249"/>
      <c r="T13" s="249"/>
      <c r="U13" s="249"/>
    </row>
    <row r="14" spans="1:36" ht="15.75" x14ac:dyDescent="0.25">
      <c r="A14" s="746"/>
      <c r="B14" s="748" t="s">
        <v>1456</v>
      </c>
      <c r="C14" s="306"/>
      <c r="D14" s="306"/>
      <c r="E14" s="249"/>
      <c r="F14" s="306"/>
      <c r="G14" s="306"/>
      <c r="H14" s="249"/>
      <c r="I14" s="349"/>
      <c r="J14" s="348"/>
      <c r="K14" s="348"/>
      <c r="L14" s="348"/>
      <c r="M14" s="348"/>
      <c r="N14" s="348"/>
      <c r="O14" s="348"/>
      <c r="P14" s="386">
        <f t="shared" si="0"/>
        <v>0</v>
      </c>
      <c r="Q14" s="387">
        <f t="shared" si="1"/>
        <v>0</v>
      </c>
      <c r="R14" s="249"/>
      <c r="S14" s="249"/>
      <c r="T14" s="249"/>
      <c r="U14" s="249"/>
    </row>
    <row r="15" spans="1:36" ht="15.75" x14ac:dyDescent="0.25">
      <c r="A15" s="746"/>
      <c r="B15" s="748"/>
      <c r="C15" s="306"/>
      <c r="D15" s="306"/>
      <c r="E15" s="249"/>
      <c r="F15" s="306"/>
      <c r="G15" s="306"/>
      <c r="H15" s="249"/>
      <c r="I15" s="349"/>
      <c r="J15" s="348"/>
      <c r="K15" s="348"/>
      <c r="L15" s="348"/>
      <c r="M15" s="348"/>
      <c r="N15" s="348"/>
      <c r="O15" s="348"/>
      <c r="P15" s="386">
        <f t="shared" si="0"/>
        <v>0</v>
      </c>
      <c r="Q15" s="387">
        <f t="shared" si="1"/>
        <v>0</v>
      </c>
      <c r="R15" s="249"/>
      <c r="S15" s="249"/>
      <c r="T15" s="249"/>
      <c r="U15" s="249"/>
    </row>
    <row r="16" spans="1:36" ht="102" x14ac:dyDescent="0.2">
      <c r="A16" s="746"/>
      <c r="B16" s="748" t="s">
        <v>1457</v>
      </c>
      <c r="C16" s="306" t="s">
        <v>1571</v>
      </c>
      <c r="D16" s="520" t="s">
        <v>1697</v>
      </c>
      <c r="E16" s="249" t="s">
        <v>1696</v>
      </c>
      <c r="F16" s="306" t="s">
        <v>1720</v>
      </c>
      <c r="G16" s="518" t="s">
        <v>1699</v>
      </c>
      <c r="H16" s="249"/>
      <c r="I16" s="349"/>
      <c r="J16" s="350">
        <v>1</v>
      </c>
      <c r="K16" s="348">
        <f>+'5. ACTIVIDADES ESPECIALES'!D10</f>
        <v>9600</v>
      </c>
      <c r="L16" s="348"/>
      <c r="M16" s="348"/>
      <c r="N16" s="348"/>
      <c r="O16" s="348"/>
      <c r="P16" s="386">
        <f t="shared" si="0"/>
        <v>1</v>
      </c>
      <c r="Q16" s="387">
        <f t="shared" si="1"/>
        <v>9600</v>
      </c>
      <c r="R16" s="519" t="s">
        <v>1698</v>
      </c>
      <c r="S16" s="249" t="s">
        <v>1693</v>
      </c>
      <c r="T16" s="249" t="s">
        <v>1694</v>
      </c>
      <c r="U16" s="249" t="s">
        <v>1695</v>
      </c>
    </row>
    <row r="17" spans="1:21" ht="216" customHeight="1" x14ac:dyDescent="0.25">
      <c r="A17" s="746"/>
      <c r="B17" s="748"/>
      <c r="C17" s="306"/>
      <c r="D17" s="520" t="s">
        <v>1697</v>
      </c>
      <c r="E17" s="253" t="s">
        <v>1747</v>
      </c>
      <c r="F17" s="306" t="s">
        <v>1753</v>
      </c>
      <c r="G17" s="525" t="s">
        <v>1748</v>
      </c>
      <c r="H17" s="250">
        <v>0.2</v>
      </c>
      <c r="I17" s="349"/>
      <c r="J17" s="350">
        <v>0.3</v>
      </c>
      <c r="K17" s="348"/>
      <c r="L17" s="350">
        <v>0.3</v>
      </c>
      <c r="M17" s="348"/>
      <c r="N17" s="350">
        <v>0.2</v>
      </c>
      <c r="O17" s="348"/>
      <c r="P17" s="386">
        <f t="shared" si="0"/>
        <v>1</v>
      </c>
      <c r="Q17" s="387">
        <f t="shared" si="1"/>
        <v>0</v>
      </c>
      <c r="R17" s="540" t="s">
        <v>1749</v>
      </c>
      <c r="S17" s="249" t="s">
        <v>1750</v>
      </c>
      <c r="T17" s="249" t="s">
        <v>1751</v>
      </c>
      <c r="U17" s="249" t="s">
        <v>1752</v>
      </c>
    </row>
    <row r="18" spans="1:21" ht="181.5" x14ac:dyDescent="0.25">
      <c r="A18" s="746"/>
      <c r="B18" s="748"/>
      <c r="C18" s="306"/>
      <c r="D18" s="520" t="s">
        <v>1697</v>
      </c>
      <c r="E18" s="249" t="s">
        <v>2623</v>
      </c>
      <c r="F18" s="306" t="s">
        <v>1754</v>
      </c>
      <c r="G18" s="306" t="s">
        <v>1755</v>
      </c>
      <c r="H18" s="250">
        <v>1</v>
      </c>
      <c r="I18" s="349">
        <f>+'5. ACTIVIDADES ESPECIALES'!D51</f>
        <v>6700</v>
      </c>
      <c r="J18" s="348"/>
      <c r="K18" s="348"/>
      <c r="L18" s="348"/>
      <c r="M18" s="348"/>
      <c r="N18" s="348"/>
      <c r="O18" s="348"/>
      <c r="P18" s="386">
        <f t="shared" si="0"/>
        <v>1</v>
      </c>
      <c r="Q18" s="387">
        <f t="shared" si="1"/>
        <v>6700</v>
      </c>
      <c r="R18" s="540" t="s">
        <v>1756</v>
      </c>
      <c r="S18" s="249" t="s">
        <v>1757</v>
      </c>
      <c r="T18" s="249" t="s">
        <v>1758</v>
      </c>
      <c r="U18" s="249" t="s">
        <v>1752</v>
      </c>
    </row>
    <row r="19" spans="1:21" ht="126" x14ac:dyDescent="0.25">
      <c r="A19" s="746"/>
      <c r="B19" s="748"/>
      <c r="C19" s="306"/>
      <c r="D19" s="306"/>
      <c r="E19" s="249" t="s">
        <v>1936</v>
      </c>
      <c r="F19" s="306" t="s">
        <v>1942</v>
      </c>
      <c r="G19" s="578" t="s">
        <v>1938</v>
      </c>
      <c r="H19" s="249"/>
      <c r="I19" s="349"/>
      <c r="J19" s="348"/>
      <c r="K19" s="348"/>
      <c r="L19" s="350">
        <v>1</v>
      </c>
      <c r="M19" s="587">
        <f>+'1. TALLERES SEMINARIOS'!D23</f>
        <v>3520</v>
      </c>
      <c r="N19" s="348"/>
      <c r="O19" s="348"/>
      <c r="P19" s="386">
        <f t="shared" si="0"/>
        <v>1</v>
      </c>
      <c r="Q19" s="387">
        <f t="shared" si="1"/>
        <v>3520</v>
      </c>
      <c r="R19" s="533" t="s">
        <v>1939</v>
      </c>
      <c r="S19" s="249" t="s">
        <v>1940</v>
      </c>
      <c r="T19" s="249" t="s">
        <v>1941</v>
      </c>
      <c r="U19" s="249" t="s">
        <v>1820</v>
      </c>
    </row>
    <row r="20" spans="1:21" ht="78.75" x14ac:dyDescent="0.25">
      <c r="A20" s="746"/>
      <c r="B20" s="554"/>
      <c r="C20" s="306"/>
      <c r="D20" s="306"/>
      <c r="E20" s="249" t="s">
        <v>2620</v>
      </c>
      <c r="F20" s="306" t="s">
        <v>1945</v>
      </c>
      <c r="G20" s="525" t="s">
        <v>1943</v>
      </c>
      <c r="H20" s="249"/>
      <c r="I20" s="349"/>
      <c r="J20" s="348"/>
      <c r="K20" s="348"/>
      <c r="L20" s="350">
        <v>0.5</v>
      </c>
      <c r="M20" s="348"/>
      <c r="N20" s="350">
        <v>0.5</v>
      </c>
      <c r="O20" s="348"/>
      <c r="P20" s="386">
        <f t="shared" ref="P20:P25" si="2">H20+J20+L20+N20</f>
        <v>1</v>
      </c>
      <c r="Q20" s="387">
        <f t="shared" ref="Q20:Q25" si="3">I20+K20+M20+O20</f>
        <v>0</v>
      </c>
      <c r="R20" s="556" t="s">
        <v>1947</v>
      </c>
      <c r="S20" s="249" t="s">
        <v>1951</v>
      </c>
      <c r="T20" s="249" t="s">
        <v>1949</v>
      </c>
      <c r="U20" s="249" t="s">
        <v>1820</v>
      </c>
    </row>
    <row r="21" spans="1:21" ht="94.5" x14ac:dyDescent="0.25">
      <c r="A21" s="746"/>
      <c r="B21" s="554"/>
      <c r="C21" s="306"/>
      <c r="D21" s="306"/>
      <c r="E21" s="249" t="s">
        <v>2622</v>
      </c>
      <c r="F21" s="306" t="s">
        <v>1946</v>
      </c>
      <c r="G21" s="525" t="s">
        <v>1944</v>
      </c>
      <c r="H21" s="250">
        <v>0.33</v>
      </c>
      <c r="I21" s="349"/>
      <c r="J21" s="350">
        <v>0.33</v>
      </c>
      <c r="K21" s="348"/>
      <c r="L21" s="350">
        <v>0.34</v>
      </c>
      <c r="M21" s="348"/>
      <c r="N21" s="348"/>
      <c r="O21" s="348"/>
      <c r="P21" s="386">
        <f t="shared" si="2"/>
        <v>1</v>
      </c>
      <c r="Q21" s="387">
        <f t="shared" si="3"/>
        <v>0</v>
      </c>
      <c r="R21" s="580" t="s">
        <v>1948</v>
      </c>
      <c r="S21" s="249" t="s">
        <v>1952</v>
      </c>
      <c r="T21" s="249" t="s">
        <v>1950</v>
      </c>
      <c r="U21" s="249" t="s">
        <v>1820</v>
      </c>
    </row>
    <row r="22" spans="1:21" ht="236.25" x14ac:dyDescent="0.25">
      <c r="A22" s="746"/>
      <c r="B22" s="554"/>
      <c r="C22" s="306"/>
      <c r="D22" s="306"/>
      <c r="E22" s="249" t="s">
        <v>1936</v>
      </c>
      <c r="F22" s="306" t="s">
        <v>2003</v>
      </c>
      <c r="G22" s="594" t="s">
        <v>2001</v>
      </c>
      <c r="H22" s="250">
        <v>0.5</v>
      </c>
      <c r="I22" s="349"/>
      <c r="J22" s="350">
        <v>0.5</v>
      </c>
      <c r="K22" s="348"/>
      <c r="L22" s="348"/>
      <c r="M22" s="348"/>
      <c r="N22" s="348"/>
      <c r="O22" s="348"/>
      <c r="P22" s="386">
        <f t="shared" si="2"/>
        <v>1</v>
      </c>
      <c r="Q22" s="387">
        <f t="shared" si="3"/>
        <v>0</v>
      </c>
      <c r="R22" s="590" t="s">
        <v>2002</v>
      </c>
      <c r="S22" s="249" t="s">
        <v>1998</v>
      </c>
      <c r="T22" s="249" t="s">
        <v>1999</v>
      </c>
      <c r="U22" s="249" t="s">
        <v>2000</v>
      </c>
    </row>
    <row r="23" spans="1:21" ht="126" x14ac:dyDescent="0.25">
      <c r="A23" s="746"/>
      <c r="B23" s="554"/>
      <c r="C23" s="306"/>
      <c r="D23" s="306"/>
      <c r="E23" s="249" t="s">
        <v>2622</v>
      </c>
      <c r="F23" s="306" t="s">
        <v>2029</v>
      </c>
      <c r="G23" s="518" t="s">
        <v>2028</v>
      </c>
      <c r="H23" s="250"/>
      <c r="I23" s="349"/>
      <c r="J23" s="350">
        <v>0.33</v>
      </c>
      <c r="K23" s="348"/>
      <c r="L23" s="350">
        <v>0.33</v>
      </c>
      <c r="M23" s="348"/>
      <c r="N23" s="350">
        <v>0.34</v>
      </c>
      <c r="O23" s="348"/>
      <c r="P23" s="386">
        <f t="shared" si="2"/>
        <v>1</v>
      </c>
      <c r="Q23" s="387">
        <f t="shared" si="3"/>
        <v>0</v>
      </c>
      <c r="R23" s="559" t="s">
        <v>2030</v>
      </c>
      <c r="S23" s="249" t="s">
        <v>2031</v>
      </c>
      <c r="T23" s="249" t="s">
        <v>1694</v>
      </c>
      <c r="U23" s="249" t="s">
        <v>2032</v>
      </c>
    </row>
    <row r="24" spans="1:21" ht="141.75" x14ac:dyDescent="0.25">
      <c r="A24" s="746"/>
      <c r="B24" s="554"/>
      <c r="C24" s="306"/>
      <c r="D24" s="306"/>
      <c r="E24" s="249" t="s">
        <v>2622</v>
      </c>
      <c r="F24" s="306" t="s">
        <v>2034</v>
      </c>
      <c r="G24" s="568" t="s">
        <v>2033</v>
      </c>
      <c r="H24" s="250">
        <v>0.25</v>
      </c>
      <c r="I24" s="349"/>
      <c r="J24" s="250">
        <v>0.25</v>
      </c>
      <c r="K24" s="348"/>
      <c r="L24" s="250">
        <v>0.25</v>
      </c>
      <c r="M24" s="348"/>
      <c r="N24" s="250">
        <v>0.25</v>
      </c>
      <c r="O24" s="348"/>
      <c r="P24" s="386">
        <f t="shared" si="2"/>
        <v>1</v>
      </c>
      <c r="Q24" s="387">
        <f t="shared" si="3"/>
        <v>0</v>
      </c>
      <c r="R24" s="559" t="s">
        <v>2030</v>
      </c>
      <c r="S24" s="249" t="s">
        <v>2031</v>
      </c>
      <c r="T24" s="249" t="s">
        <v>1694</v>
      </c>
      <c r="U24" s="249" t="s">
        <v>2032</v>
      </c>
    </row>
    <row r="25" spans="1:21" ht="157.5" x14ac:dyDescent="0.25">
      <c r="A25" s="746"/>
      <c r="B25" s="554"/>
      <c r="C25" s="306"/>
      <c r="D25" s="306"/>
      <c r="E25" s="249" t="s">
        <v>2622</v>
      </c>
      <c r="F25" s="306" t="s">
        <v>2057</v>
      </c>
      <c r="G25" s="605" t="s">
        <v>2056</v>
      </c>
      <c r="H25" s="249"/>
      <c r="I25" s="349"/>
      <c r="J25" s="350">
        <v>0.5</v>
      </c>
      <c r="K25" s="348"/>
      <c r="L25" s="350">
        <v>0.5</v>
      </c>
      <c r="M25" s="348"/>
      <c r="N25" s="348"/>
      <c r="O25" s="348"/>
      <c r="P25" s="386">
        <f t="shared" si="2"/>
        <v>1</v>
      </c>
      <c r="Q25" s="387">
        <f t="shared" si="3"/>
        <v>0</v>
      </c>
      <c r="R25" s="559" t="s">
        <v>2058</v>
      </c>
      <c r="S25" s="249" t="s">
        <v>2031</v>
      </c>
      <c r="T25" s="249" t="s">
        <v>1694</v>
      </c>
      <c r="U25" s="249" t="s">
        <v>2059</v>
      </c>
    </row>
    <row r="26" spans="1:21" ht="126" x14ac:dyDescent="0.25">
      <c r="A26" s="746"/>
      <c r="B26" s="748" t="s">
        <v>1458</v>
      </c>
      <c r="C26" s="306"/>
      <c r="D26" s="306"/>
      <c r="E26" s="617" t="s">
        <v>2167</v>
      </c>
      <c r="F26" s="306" t="s">
        <v>2169</v>
      </c>
      <c r="G26" s="617" t="s">
        <v>2168</v>
      </c>
      <c r="H26" s="249"/>
      <c r="I26" s="349"/>
      <c r="J26" s="350">
        <v>1</v>
      </c>
      <c r="K26" s="348"/>
      <c r="L26" s="348"/>
      <c r="M26" s="348"/>
      <c r="N26" s="348"/>
      <c r="O26" s="348"/>
      <c r="P26" s="386">
        <f t="shared" si="0"/>
        <v>1</v>
      </c>
      <c r="Q26" s="387">
        <f t="shared" si="1"/>
        <v>0</v>
      </c>
      <c r="R26" s="559" t="s">
        <v>2170</v>
      </c>
      <c r="S26" s="249" t="s">
        <v>2171</v>
      </c>
      <c r="T26" s="249" t="s">
        <v>2172</v>
      </c>
      <c r="U26" s="249" t="s">
        <v>2173</v>
      </c>
    </row>
    <row r="27" spans="1:21" ht="157.5" x14ac:dyDescent="0.25">
      <c r="A27" s="746"/>
      <c r="B27" s="748"/>
      <c r="C27" s="306"/>
      <c r="D27" s="306"/>
      <c r="E27" s="617" t="s">
        <v>2176</v>
      </c>
      <c r="F27" s="306" t="s">
        <v>2177</v>
      </c>
      <c r="G27" s="605" t="s">
        <v>2174</v>
      </c>
      <c r="H27" s="249"/>
      <c r="I27" s="349"/>
      <c r="J27" s="350"/>
      <c r="K27" s="348"/>
      <c r="L27" s="348"/>
      <c r="M27" s="348"/>
      <c r="N27" s="350">
        <v>1</v>
      </c>
      <c r="O27" s="348"/>
      <c r="P27" s="386">
        <f t="shared" ref="P27:P33" si="4">H27+J27+L27+N27</f>
        <v>1</v>
      </c>
      <c r="Q27" s="387">
        <f t="shared" ref="Q27:Q33" si="5">I27+K27+M27+O27</f>
        <v>0</v>
      </c>
      <c r="R27" s="533" t="s">
        <v>2175</v>
      </c>
      <c r="S27" s="249" t="s">
        <v>2178</v>
      </c>
      <c r="T27" s="249" t="s">
        <v>2172</v>
      </c>
      <c r="U27" s="249" t="s">
        <v>2173</v>
      </c>
    </row>
    <row r="28" spans="1:21" ht="110.25" x14ac:dyDescent="0.25">
      <c r="A28" s="746"/>
      <c r="B28" s="748"/>
      <c r="C28" s="306"/>
      <c r="D28" s="306"/>
      <c r="E28" s="253" t="s">
        <v>2281</v>
      </c>
      <c r="F28" s="306" t="s">
        <v>2274</v>
      </c>
      <c r="G28" s="568" t="s">
        <v>2252</v>
      </c>
      <c r="H28" s="249"/>
      <c r="I28" s="349"/>
      <c r="J28" s="350">
        <v>0.33</v>
      </c>
      <c r="K28" s="348"/>
      <c r="L28" s="350">
        <v>0.33</v>
      </c>
      <c r="M28" s="348"/>
      <c r="N28" s="350">
        <v>0.34</v>
      </c>
      <c r="O28" s="348"/>
      <c r="P28" s="386">
        <f t="shared" si="4"/>
        <v>1</v>
      </c>
      <c r="Q28" s="387">
        <f t="shared" si="5"/>
        <v>0</v>
      </c>
      <c r="R28" s="533" t="s">
        <v>2275</v>
      </c>
      <c r="S28" s="249" t="s">
        <v>2276</v>
      </c>
      <c r="T28" s="249" t="s">
        <v>2277</v>
      </c>
      <c r="U28" s="249" t="s">
        <v>2278</v>
      </c>
    </row>
    <row r="29" spans="1:21" ht="110.25" x14ac:dyDescent="0.25">
      <c r="A29" s="746"/>
      <c r="B29" s="748"/>
      <c r="C29" s="306"/>
      <c r="D29" s="306"/>
      <c r="E29" s="253" t="s">
        <v>2282</v>
      </c>
      <c r="F29" s="306" t="s">
        <v>2280</v>
      </c>
      <c r="G29" s="525" t="s">
        <v>2279</v>
      </c>
      <c r="H29" s="250">
        <v>0.33</v>
      </c>
      <c r="I29" s="349"/>
      <c r="J29" s="350"/>
      <c r="K29" s="348"/>
      <c r="L29" s="350">
        <v>0.33</v>
      </c>
      <c r="M29" s="348"/>
      <c r="N29" s="350">
        <v>0.34</v>
      </c>
      <c r="O29" s="348"/>
      <c r="P29" s="386">
        <f t="shared" si="4"/>
        <v>1</v>
      </c>
      <c r="Q29" s="387">
        <f t="shared" si="5"/>
        <v>0</v>
      </c>
      <c r="R29" s="632" t="s">
        <v>2283</v>
      </c>
      <c r="S29" s="249" t="s">
        <v>2284</v>
      </c>
      <c r="T29" s="249" t="s">
        <v>2285</v>
      </c>
      <c r="U29" s="249" t="s">
        <v>2278</v>
      </c>
    </row>
    <row r="30" spans="1:21" ht="189" x14ac:dyDescent="0.25">
      <c r="A30" s="746"/>
      <c r="B30" s="748"/>
      <c r="C30" s="306"/>
      <c r="D30" s="306"/>
      <c r="E30" s="617" t="s">
        <v>2188</v>
      </c>
      <c r="F30" s="306" t="s">
        <v>2287</v>
      </c>
      <c r="G30" s="605" t="s">
        <v>2286</v>
      </c>
      <c r="H30" s="249"/>
      <c r="I30" s="349"/>
      <c r="J30" s="350"/>
      <c r="K30" s="348"/>
      <c r="L30" s="350">
        <v>1</v>
      </c>
      <c r="M30" s="635">
        <f>+'5. ACTIVIDADES ESPECIALES'!D409</f>
        <v>12300</v>
      </c>
      <c r="N30" s="348"/>
      <c r="O30" s="348"/>
      <c r="P30" s="386">
        <f t="shared" si="4"/>
        <v>1</v>
      </c>
      <c r="Q30" s="387">
        <f t="shared" si="5"/>
        <v>12300</v>
      </c>
      <c r="R30" s="559" t="s">
        <v>2288</v>
      </c>
      <c r="S30" s="633" t="s">
        <v>2241</v>
      </c>
      <c r="T30" s="633" t="s">
        <v>2289</v>
      </c>
      <c r="U30" s="634" t="s">
        <v>2290</v>
      </c>
    </row>
    <row r="31" spans="1:21" ht="173.25" x14ac:dyDescent="0.25">
      <c r="A31" s="746"/>
      <c r="B31" s="748"/>
      <c r="C31" s="306"/>
      <c r="D31" s="306"/>
      <c r="E31" s="617" t="s">
        <v>2621</v>
      </c>
      <c r="F31" s="306" t="s">
        <v>2605</v>
      </c>
      <c r="G31" s="568" t="s">
        <v>2601</v>
      </c>
      <c r="H31" s="249"/>
      <c r="I31" s="349"/>
      <c r="J31" s="350">
        <v>1</v>
      </c>
      <c r="K31" s="348"/>
      <c r="L31" s="348"/>
      <c r="M31" s="348"/>
      <c r="N31" s="348"/>
      <c r="O31" s="348"/>
      <c r="P31" s="386">
        <f t="shared" si="4"/>
        <v>1</v>
      </c>
      <c r="Q31" s="387">
        <f t="shared" si="5"/>
        <v>0</v>
      </c>
      <c r="R31" s="589" t="s">
        <v>2612</v>
      </c>
      <c r="S31" s="249" t="s">
        <v>2613</v>
      </c>
      <c r="T31" s="249" t="s">
        <v>2614</v>
      </c>
      <c r="U31" s="249" t="s">
        <v>2615</v>
      </c>
    </row>
    <row r="32" spans="1:21" ht="110.25" x14ac:dyDescent="0.25">
      <c r="A32" s="746"/>
      <c r="B32" s="748"/>
      <c r="C32" s="306"/>
      <c r="D32" s="306"/>
      <c r="E32" s="253" t="s">
        <v>2604</v>
      </c>
      <c r="F32" s="306" t="s">
        <v>2606</v>
      </c>
      <c r="G32" s="568" t="s">
        <v>2602</v>
      </c>
      <c r="H32" s="249"/>
      <c r="I32" s="349"/>
      <c r="J32" s="350">
        <v>0.5</v>
      </c>
      <c r="K32" s="348"/>
      <c r="L32" s="348"/>
      <c r="M32" s="348"/>
      <c r="N32" s="350">
        <v>0.5</v>
      </c>
      <c r="O32" s="348"/>
      <c r="P32" s="386">
        <f t="shared" si="4"/>
        <v>1</v>
      </c>
      <c r="Q32" s="387">
        <f t="shared" si="5"/>
        <v>0</v>
      </c>
      <c r="R32" s="556" t="s">
        <v>2608</v>
      </c>
      <c r="S32" s="691" t="s">
        <v>2609</v>
      </c>
      <c r="T32" s="691" t="s">
        <v>2610</v>
      </c>
      <c r="U32" s="691" t="s">
        <v>2611</v>
      </c>
    </row>
    <row r="33" spans="1:21" ht="173.25" x14ac:dyDescent="0.25">
      <c r="A33" s="746"/>
      <c r="B33" s="748"/>
      <c r="C33" s="306"/>
      <c r="D33" s="306"/>
      <c r="E33" s="253" t="s">
        <v>2620</v>
      </c>
      <c r="F33" s="306" t="s">
        <v>2607</v>
      </c>
      <c r="G33" s="568" t="s">
        <v>2603</v>
      </c>
      <c r="H33" s="249"/>
      <c r="I33" s="349"/>
      <c r="J33" s="350">
        <v>0.5</v>
      </c>
      <c r="K33" s="348">
        <f>+J33*'5. ACTIVIDADES ESPECIALES'!D674</f>
        <v>9500</v>
      </c>
      <c r="L33" s="348"/>
      <c r="M33" s="348"/>
      <c r="N33" s="350">
        <v>0.5</v>
      </c>
      <c r="O33" s="348">
        <f>+N33*'5. ACTIVIDADES ESPECIALES'!D674</f>
        <v>9500</v>
      </c>
      <c r="P33" s="386">
        <f t="shared" si="4"/>
        <v>1</v>
      </c>
      <c r="Q33" s="387">
        <f t="shared" si="5"/>
        <v>19000</v>
      </c>
      <c r="R33" s="556" t="s">
        <v>2616</v>
      </c>
      <c r="S33" s="691" t="s">
        <v>2617</v>
      </c>
      <c r="T33" s="691" t="s">
        <v>2618</v>
      </c>
      <c r="U33" s="691" t="s">
        <v>2619</v>
      </c>
    </row>
    <row r="34" spans="1:21" ht="300" x14ac:dyDescent="0.25">
      <c r="A34" s="745" t="s">
        <v>1454</v>
      </c>
      <c r="B34" s="748" t="s">
        <v>1459</v>
      </c>
      <c r="C34" s="306" t="s">
        <v>1571</v>
      </c>
      <c r="D34" s="520" t="s">
        <v>1697</v>
      </c>
      <c r="E34" s="521" t="s">
        <v>1706</v>
      </c>
      <c r="F34" s="306" t="s">
        <v>1707</v>
      </c>
      <c r="G34" s="585" t="s">
        <v>1705</v>
      </c>
      <c r="H34" s="250">
        <v>0.4</v>
      </c>
      <c r="I34" s="348">
        <f>+H34*'5. ACTIVIDADES ESPECIALES'!D25</f>
        <v>1400</v>
      </c>
      <c r="J34" s="350">
        <v>0.6</v>
      </c>
      <c r="K34" s="348">
        <f>+J34*'5. ACTIVIDADES ESPECIALES'!D25</f>
        <v>2100</v>
      </c>
      <c r="L34" s="350"/>
      <c r="M34" s="348"/>
      <c r="N34" s="350"/>
      <c r="O34" s="348"/>
      <c r="P34" s="386">
        <f t="shared" ref="P34:P61" si="6">H34+J34+L34+N34</f>
        <v>1</v>
      </c>
      <c r="Q34" s="387">
        <f t="shared" ref="Q34:Q61" si="7">I34+K34+M34+O34</f>
        <v>3500</v>
      </c>
      <c r="R34" s="522" t="s">
        <v>1710</v>
      </c>
      <c r="S34" s="249" t="s">
        <v>1708</v>
      </c>
      <c r="T34" s="249" t="s">
        <v>1709</v>
      </c>
      <c r="U34" s="249" t="s">
        <v>1695</v>
      </c>
    </row>
    <row r="35" spans="1:21" ht="285" x14ac:dyDescent="0.25">
      <c r="A35" s="746"/>
      <c r="B35" s="748"/>
      <c r="C35" s="306"/>
      <c r="D35" s="520" t="s">
        <v>1697</v>
      </c>
      <c r="E35" s="253" t="s">
        <v>1715</v>
      </c>
      <c r="F35" s="306" t="s">
        <v>1716</v>
      </c>
      <c r="G35" s="586" t="s">
        <v>1714</v>
      </c>
      <c r="H35" s="250">
        <v>0.25</v>
      </c>
      <c r="I35" s="348">
        <f>+H35*'5. ACTIVIDADES ESPECIALES'!D38</f>
        <v>1837.5</v>
      </c>
      <c r="J35" s="350">
        <v>0.25</v>
      </c>
      <c r="K35" s="348">
        <f>+J35*'5. ACTIVIDADES ESPECIALES'!D38</f>
        <v>1837.5</v>
      </c>
      <c r="L35" s="350">
        <v>0.25</v>
      </c>
      <c r="M35" s="348">
        <f>+L35*'5. ACTIVIDADES ESPECIALES'!D38</f>
        <v>1837.5</v>
      </c>
      <c r="N35" s="350">
        <v>0.25</v>
      </c>
      <c r="O35" s="348">
        <f>+N35*'5. ACTIVIDADES ESPECIALES'!D38</f>
        <v>1837.5</v>
      </c>
      <c r="P35" s="386">
        <f t="shared" si="6"/>
        <v>1</v>
      </c>
      <c r="Q35" s="387">
        <f t="shared" si="7"/>
        <v>7350</v>
      </c>
      <c r="R35" s="524" t="s">
        <v>1718</v>
      </c>
      <c r="S35" s="523" t="s">
        <v>1717</v>
      </c>
      <c r="T35" s="523" t="s">
        <v>1719</v>
      </c>
      <c r="U35" s="523" t="s">
        <v>1695</v>
      </c>
    </row>
    <row r="36" spans="1:21" ht="283.5" x14ac:dyDescent="0.25">
      <c r="A36" s="746"/>
      <c r="B36" s="748"/>
      <c r="C36" s="306"/>
      <c r="D36" s="520" t="s">
        <v>1697</v>
      </c>
      <c r="E36" s="249" t="s">
        <v>1787</v>
      </c>
      <c r="F36" s="306" t="s">
        <v>1786</v>
      </c>
      <c r="G36" s="525" t="s">
        <v>1785</v>
      </c>
      <c r="H36" s="250">
        <v>0.34</v>
      </c>
      <c r="I36" s="348"/>
      <c r="J36" s="350"/>
      <c r="K36" s="348"/>
      <c r="L36" s="350">
        <v>0.33</v>
      </c>
      <c r="M36" s="348"/>
      <c r="N36" s="350">
        <v>0.34</v>
      </c>
      <c r="O36" s="348"/>
      <c r="P36" s="386">
        <f t="shared" si="6"/>
        <v>1.01</v>
      </c>
      <c r="Q36" s="387">
        <f t="shared" si="7"/>
        <v>0</v>
      </c>
      <c r="R36" s="551" t="s">
        <v>1788</v>
      </c>
      <c r="S36" s="249" t="s">
        <v>1791</v>
      </c>
      <c r="T36" s="249" t="s">
        <v>1789</v>
      </c>
      <c r="U36" s="249" t="s">
        <v>1790</v>
      </c>
    </row>
    <row r="37" spans="1:21" ht="15.75" customHeight="1" x14ac:dyDescent="0.25">
      <c r="A37" s="746"/>
      <c r="B37" s="748" t="s">
        <v>1460</v>
      </c>
      <c r="C37" s="306"/>
      <c r="D37" s="306"/>
      <c r="E37" s="249"/>
      <c r="F37" s="306"/>
      <c r="G37" s="306"/>
      <c r="H37" s="250"/>
      <c r="I37" s="348"/>
      <c r="J37" s="350"/>
      <c r="K37" s="348"/>
      <c r="L37" s="350"/>
      <c r="M37" s="348"/>
      <c r="N37" s="350"/>
      <c r="O37" s="348"/>
      <c r="P37" s="386">
        <f t="shared" si="6"/>
        <v>0</v>
      </c>
      <c r="Q37" s="387">
        <f t="shared" si="7"/>
        <v>0</v>
      </c>
      <c r="R37" s="348"/>
      <c r="S37" s="249"/>
      <c r="T37" s="249"/>
      <c r="U37" s="249"/>
    </row>
    <row r="38" spans="1:21" ht="15.75" customHeight="1" x14ac:dyDescent="0.25">
      <c r="A38" s="746"/>
      <c r="B38" s="748"/>
      <c r="C38" s="306"/>
      <c r="D38" s="306"/>
      <c r="E38" s="249"/>
      <c r="F38" s="306"/>
      <c r="G38" s="306"/>
      <c r="H38" s="250"/>
      <c r="I38" s="348"/>
      <c r="J38" s="350"/>
      <c r="K38" s="348"/>
      <c r="L38" s="350"/>
      <c r="M38" s="348"/>
      <c r="N38" s="350"/>
      <c r="O38" s="348"/>
      <c r="P38" s="386">
        <f t="shared" si="6"/>
        <v>0</v>
      </c>
      <c r="Q38" s="387">
        <f t="shared" si="7"/>
        <v>0</v>
      </c>
      <c r="R38" s="348"/>
      <c r="S38" s="249"/>
      <c r="T38" s="249"/>
      <c r="U38" s="249"/>
    </row>
    <row r="39" spans="1:21" ht="15.75" customHeight="1" x14ac:dyDescent="0.25">
      <c r="A39" s="746"/>
      <c r="B39" s="748"/>
      <c r="C39" s="306"/>
      <c r="D39" s="306"/>
      <c r="E39" s="249"/>
      <c r="F39" s="306"/>
      <c r="G39" s="306"/>
      <c r="H39" s="250"/>
      <c r="I39" s="348"/>
      <c r="J39" s="350"/>
      <c r="K39" s="348"/>
      <c r="L39" s="350"/>
      <c r="M39" s="348"/>
      <c r="N39" s="350"/>
      <c r="O39" s="348"/>
      <c r="P39" s="386">
        <f t="shared" si="6"/>
        <v>0</v>
      </c>
      <c r="Q39" s="387">
        <f t="shared" si="7"/>
        <v>0</v>
      </c>
      <c r="R39" s="348"/>
      <c r="S39" s="249"/>
      <c r="T39" s="249"/>
      <c r="U39" s="249"/>
    </row>
    <row r="40" spans="1:21" ht="15.75" customHeight="1" x14ac:dyDescent="0.25">
      <c r="A40" s="746"/>
      <c r="B40" s="748" t="s">
        <v>1461</v>
      </c>
      <c r="C40" s="306"/>
      <c r="D40" s="306"/>
      <c r="E40" s="249"/>
      <c r="F40" s="306"/>
      <c r="G40" s="306"/>
      <c r="H40" s="250"/>
      <c r="I40" s="348"/>
      <c r="J40" s="350"/>
      <c r="K40" s="348"/>
      <c r="L40" s="350"/>
      <c r="M40" s="348"/>
      <c r="N40" s="350"/>
      <c r="O40" s="348"/>
      <c r="P40" s="386">
        <f t="shared" si="6"/>
        <v>0</v>
      </c>
      <c r="Q40" s="387">
        <f t="shared" si="7"/>
        <v>0</v>
      </c>
      <c r="R40" s="348"/>
      <c r="S40" s="249"/>
      <c r="T40" s="249"/>
      <c r="U40" s="249"/>
    </row>
    <row r="41" spans="1:21" ht="15.75" customHeight="1" x14ac:dyDescent="0.25">
      <c r="A41" s="746"/>
      <c r="B41" s="748"/>
      <c r="C41" s="306"/>
      <c r="D41" s="306"/>
      <c r="E41" s="249"/>
      <c r="F41" s="306"/>
      <c r="G41" s="306"/>
      <c r="H41" s="250"/>
      <c r="I41" s="348"/>
      <c r="J41" s="350"/>
      <c r="K41" s="348"/>
      <c r="L41" s="350"/>
      <c r="M41" s="348"/>
      <c r="N41" s="350"/>
      <c r="O41" s="348"/>
      <c r="P41" s="386">
        <f t="shared" si="6"/>
        <v>0</v>
      </c>
      <c r="Q41" s="387">
        <f t="shared" si="7"/>
        <v>0</v>
      </c>
      <c r="R41" s="348"/>
      <c r="S41" s="249"/>
      <c r="T41" s="249"/>
      <c r="U41" s="249"/>
    </row>
    <row r="42" spans="1:21" ht="15.75" customHeight="1" x14ac:dyDescent="0.25">
      <c r="A42" s="746"/>
      <c r="B42" s="748"/>
      <c r="C42" s="306"/>
      <c r="D42" s="306"/>
      <c r="E42" s="249"/>
      <c r="F42" s="306"/>
      <c r="G42" s="306"/>
      <c r="H42" s="250"/>
      <c r="I42" s="348"/>
      <c r="J42" s="350"/>
      <c r="K42" s="348"/>
      <c r="L42" s="350"/>
      <c r="M42" s="348"/>
      <c r="N42" s="350"/>
      <c r="O42" s="348"/>
      <c r="P42" s="386">
        <f t="shared" si="6"/>
        <v>0</v>
      </c>
      <c r="Q42" s="387">
        <f t="shared" si="7"/>
        <v>0</v>
      </c>
      <c r="R42" s="348"/>
      <c r="S42" s="249"/>
      <c r="T42" s="249"/>
      <c r="U42" s="249"/>
    </row>
    <row r="43" spans="1:21" ht="15.75" customHeight="1" x14ac:dyDescent="0.25">
      <c r="A43" s="746"/>
      <c r="B43" s="748"/>
      <c r="C43" s="306"/>
      <c r="D43" s="306"/>
      <c r="E43" s="249"/>
      <c r="F43" s="306"/>
      <c r="G43" s="306"/>
      <c r="H43" s="250"/>
      <c r="I43" s="348"/>
      <c r="J43" s="350"/>
      <c r="K43" s="348"/>
      <c r="L43" s="350"/>
      <c r="M43" s="348"/>
      <c r="N43" s="350"/>
      <c r="O43" s="348"/>
      <c r="P43" s="386">
        <f t="shared" si="6"/>
        <v>0</v>
      </c>
      <c r="Q43" s="387">
        <f t="shared" si="7"/>
        <v>0</v>
      </c>
      <c r="R43" s="348"/>
      <c r="S43" s="249"/>
      <c r="T43" s="249"/>
      <c r="U43" s="249"/>
    </row>
    <row r="44" spans="1:21" ht="15.75" customHeight="1" x14ac:dyDescent="0.25">
      <c r="A44" s="746"/>
      <c r="B44" s="748" t="s">
        <v>1462</v>
      </c>
      <c r="C44" s="306"/>
      <c r="D44" s="306"/>
      <c r="E44" s="249"/>
      <c r="F44" s="306"/>
      <c r="G44" s="306"/>
      <c r="H44" s="250"/>
      <c r="I44" s="348"/>
      <c r="J44" s="350"/>
      <c r="K44" s="348"/>
      <c r="L44" s="350"/>
      <c r="M44" s="348"/>
      <c r="N44" s="350"/>
      <c r="O44" s="348"/>
      <c r="P44" s="386">
        <f t="shared" si="6"/>
        <v>0</v>
      </c>
      <c r="Q44" s="387">
        <f t="shared" si="7"/>
        <v>0</v>
      </c>
      <c r="R44" s="348"/>
      <c r="S44" s="249"/>
      <c r="T44" s="249"/>
      <c r="U44" s="249"/>
    </row>
    <row r="45" spans="1:21" ht="15.75" customHeight="1" x14ac:dyDescent="0.25">
      <c r="A45" s="746"/>
      <c r="B45" s="748"/>
      <c r="C45" s="306"/>
      <c r="D45" s="306"/>
      <c r="E45" s="249"/>
      <c r="F45" s="306"/>
      <c r="G45" s="306"/>
      <c r="H45" s="250"/>
      <c r="I45" s="348"/>
      <c r="J45" s="350"/>
      <c r="K45" s="348"/>
      <c r="L45" s="350"/>
      <c r="M45" s="348"/>
      <c r="N45" s="350"/>
      <c r="O45" s="348"/>
      <c r="P45" s="386">
        <f t="shared" si="6"/>
        <v>0</v>
      </c>
      <c r="Q45" s="387">
        <f t="shared" si="7"/>
        <v>0</v>
      </c>
      <c r="R45" s="348"/>
      <c r="S45" s="249"/>
      <c r="T45" s="249"/>
      <c r="U45" s="249"/>
    </row>
    <row r="46" spans="1:21" ht="15.75" customHeight="1" x14ac:dyDescent="0.25">
      <c r="A46" s="746"/>
      <c r="B46" s="748"/>
      <c r="C46" s="306"/>
      <c r="D46" s="306"/>
      <c r="E46" s="249"/>
      <c r="F46" s="306"/>
      <c r="G46" s="306"/>
      <c r="H46" s="250"/>
      <c r="I46" s="348"/>
      <c r="J46" s="350"/>
      <c r="K46" s="348"/>
      <c r="L46" s="350"/>
      <c r="M46" s="348"/>
      <c r="N46" s="350"/>
      <c r="O46" s="348"/>
      <c r="P46" s="386">
        <f t="shared" si="6"/>
        <v>0</v>
      </c>
      <c r="Q46" s="387">
        <f t="shared" si="7"/>
        <v>0</v>
      </c>
      <c r="R46" s="348"/>
      <c r="S46" s="249"/>
      <c r="T46" s="249"/>
      <c r="U46" s="249"/>
    </row>
    <row r="47" spans="1:21" ht="15.75" customHeight="1" x14ac:dyDescent="0.25">
      <c r="A47" s="746"/>
      <c r="B47" s="748"/>
      <c r="C47" s="306"/>
      <c r="D47" s="306"/>
      <c r="E47" s="249"/>
      <c r="F47" s="306"/>
      <c r="G47" s="306"/>
      <c r="H47" s="250"/>
      <c r="I47" s="348"/>
      <c r="J47" s="350"/>
      <c r="K47" s="348"/>
      <c r="L47" s="350"/>
      <c r="M47" s="348"/>
      <c r="N47" s="350"/>
      <c r="O47" s="348"/>
      <c r="P47" s="386">
        <f t="shared" si="6"/>
        <v>0</v>
      </c>
      <c r="Q47" s="387">
        <f t="shared" si="7"/>
        <v>0</v>
      </c>
      <c r="R47" s="348"/>
      <c r="S47" s="249"/>
      <c r="T47" s="249"/>
      <c r="U47" s="249"/>
    </row>
    <row r="48" spans="1:21" ht="15.75" x14ac:dyDescent="0.25">
      <c r="A48" s="746"/>
      <c r="B48" s="748" t="s">
        <v>1463</v>
      </c>
      <c r="C48" s="306"/>
      <c r="D48" s="306"/>
      <c r="E48" s="249"/>
      <c r="F48" s="306"/>
      <c r="G48" s="306"/>
      <c r="H48" s="250"/>
      <c r="I48" s="348"/>
      <c r="J48" s="350"/>
      <c r="K48" s="348"/>
      <c r="L48" s="350"/>
      <c r="M48" s="348"/>
      <c r="N48" s="350"/>
      <c r="O48" s="348"/>
      <c r="P48" s="386">
        <f t="shared" si="6"/>
        <v>0</v>
      </c>
      <c r="Q48" s="387">
        <f t="shared" si="7"/>
        <v>0</v>
      </c>
      <c r="R48" s="348"/>
      <c r="S48" s="249"/>
      <c r="T48" s="249"/>
      <c r="U48" s="249"/>
    </row>
    <row r="49" spans="1:21" ht="15.75" x14ac:dyDescent="0.25">
      <c r="A49" s="746"/>
      <c r="B49" s="748"/>
      <c r="C49" s="306"/>
      <c r="D49" s="306"/>
      <c r="E49" s="249"/>
      <c r="F49" s="306"/>
      <c r="G49" s="306"/>
      <c r="H49" s="250"/>
      <c r="I49" s="348"/>
      <c r="J49" s="350"/>
      <c r="K49" s="348"/>
      <c r="L49" s="350"/>
      <c r="M49" s="348"/>
      <c r="N49" s="350"/>
      <c r="O49" s="348"/>
      <c r="P49" s="386">
        <f t="shared" si="6"/>
        <v>0</v>
      </c>
      <c r="Q49" s="387">
        <f t="shared" si="7"/>
        <v>0</v>
      </c>
      <c r="R49" s="348"/>
      <c r="S49" s="249"/>
      <c r="T49" s="249"/>
      <c r="U49" s="249"/>
    </row>
    <row r="50" spans="1:21" ht="15.75" x14ac:dyDescent="0.25">
      <c r="A50" s="746"/>
      <c r="B50" s="748"/>
      <c r="C50" s="306"/>
      <c r="D50" s="306"/>
      <c r="E50" s="249"/>
      <c r="F50" s="306"/>
      <c r="G50" s="306"/>
      <c r="H50" s="250"/>
      <c r="I50" s="348"/>
      <c r="J50" s="350"/>
      <c r="K50" s="348"/>
      <c r="L50" s="350"/>
      <c r="M50" s="348"/>
      <c r="N50" s="350"/>
      <c r="O50" s="348"/>
      <c r="P50" s="386">
        <f t="shared" si="6"/>
        <v>0</v>
      </c>
      <c r="Q50" s="387">
        <f t="shared" si="7"/>
        <v>0</v>
      </c>
      <c r="R50" s="348"/>
      <c r="S50" s="249"/>
      <c r="T50" s="249"/>
      <c r="U50" s="249"/>
    </row>
    <row r="51" spans="1:21" ht="15.75" x14ac:dyDescent="0.25">
      <c r="A51" s="746"/>
      <c r="B51" s="748"/>
      <c r="C51" s="306"/>
      <c r="D51" s="306"/>
      <c r="E51" s="249"/>
      <c r="F51" s="306"/>
      <c r="G51" s="306"/>
      <c r="H51" s="250"/>
      <c r="I51" s="348"/>
      <c r="J51" s="350"/>
      <c r="K51" s="348"/>
      <c r="L51" s="350"/>
      <c r="M51" s="348"/>
      <c r="N51" s="350"/>
      <c r="O51" s="348"/>
      <c r="P51" s="386">
        <f t="shared" si="6"/>
        <v>0</v>
      </c>
      <c r="Q51" s="387">
        <f t="shared" si="7"/>
        <v>0</v>
      </c>
      <c r="R51" s="348"/>
      <c r="S51" s="249"/>
      <c r="T51" s="249"/>
      <c r="U51" s="249"/>
    </row>
    <row r="52" spans="1:21" ht="15.75" customHeight="1" x14ac:dyDescent="0.25">
      <c r="A52" s="746"/>
      <c r="B52" s="750" t="s">
        <v>1464</v>
      </c>
      <c r="C52" s="306"/>
      <c r="D52" s="306"/>
      <c r="E52" s="249"/>
      <c r="F52" s="306"/>
      <c r="G52" s="306"/>
      <c r="H52" s="250"/>
      <c r="I52" s="348"/>
      <c r="J52" s="350"/>
      <c r="K52" s="348"/>
      <c r="L52" s="350"/>
      <c r="M52" s="348"/>
      <c r="N52" s="350"/>
      <c r="O52" s="348"/>
      <c r="P52" s="386">
        <f t="shared" si="6"/>
        <v>0</v>
      </c>
      <c r="Q52" s="387">
        <f t="shared" si="7"/>
        <v>0</v>
      </c>
      <c r="R52" s="348"/>
      <c r="S52" s="249"/>
      <c r="T52" s="249"/>
      <c r="U52" s="249"/>
    </row>
    <row r="53" spans="1:21" ht="15.75" customHeight="1" x14ac:dyDescent="0.25">
      <c r="A53" s="746"/>
      <c r="B53" s="751"/>
      <c r="C53" s="306"/>
      <c r="D53" s="306"/>
      <c r="E53" s="249"/>
      <c r="F53" s="306"/>
      <c r="G53" s="306"/>
      <c r="H53" s="250"/>
      <c r="I53" s="348"/>
      <c r="J53" s="350"/>
      <c r="K53" s="348"/>
      <c r="L53" s="350"/>
      <c r="M53" s="348"/>
      <c r="N53" s="350"/>
      <c r="O53" s="348"/>
      <c r="P53" s="386">
        <f t="shared" si="6"/>
        <v>0</v>
      </c>
      <c r="Q53" s="387">
        <f t="shared" si="7"/>
        <v>0</v>
      </c>
      <c r="R53" s="348"/>
      <c r="S53" s="249"/>
      <c r="T53" s="249"/>
      <c r="U53" s="249"/>
    </row>
    <row r="54" spans="1:21" ht="15.75" customHeight="1" x14ac:dyDescent="0.25">
      <c r="A54" s="746"/>
      <c r="B54" s="751"/>
      <c r="C54" s="306"/>
      <c r="D54" s="306"/>
      <c r="E54" s="249"/>
      <c r="F54" s="306"/>
      <c r="G54" s="306"/>
      <c r="H54" s="250"/>
      <c r="I54" s="348"/>
      <c r="J54" s="350"/>
      <c r="K54" s="348"/>
      <c r="L54" s="350"/>
      <c r="M54" s="348"/>
      <c r="N54" s="350"/>
      <c r="O54" s="348"/>
      <c r="P54" s="386">
        <f t="shared" si="6"/>
        <v>0</v>
      </c>
      <c r="Q54" s="387">
        <f t="shared" si="7"/>
        <v>0</v>
      </c>
      <c r="R54" s="348"/>
      <c r="S54" s="249"/>
      <c r="T54" s="249"/>
      <c r="U54" s="249"/>
    </row>
    <row r="55" spans="1:21" ht="18" customHeight="1" x14ac:dyDescent="0.25">
      <c r="A55" s="746"/>
      <c r="B55" s="752"/>
      <c r="C55" s="306"/>
      <c r="D55" s="306"/>
      <c r="E55" s="249"/>
      <c r="F55" s="306"/>
      <c r="G55" s="306"/>
      <c r="H55" s="250"/>
      <c r="I55" s="348"/>
      <c r="J55" s="350"/>
      <c r="K55" s="348"/>
      <c r="L55" s="350"/>
      <c r="M55" s="348"/>
      <c r="N55" s="350"/>
      <c r="O55" s="348"/>
      <c r="P55" s="386">
        <f t="shared" si="6"/>
        <v>0</v>
      </c>
      <c r="Q55" s="387">
        <f t="shared" si="7"/>
        <v>0</v>
      </c>
      <c r="R55" s="348"/>
      <c r="S55" s="249"/>
      <c r="T55" s="249"/>
      <c r="U55" s="249"/>
    </row>
    <row r="56" spans="1:21" ht="15.75" x14ac:dyDescent="0.25">
      <c r="A56" s="746"/>
      <c r="B56" s="749" t="s">
        <v>1465</v>
      </c>
      <c r="C56" s="306"/>
      <c r="D56" s="306"/>
      <c r="E56" s="249"/>
      <c r="F56" s="306"/>
      <c r="G56" s="306"/>
      <c r="H56" s="250"/>
      <c r="I56" s="348"/>
      <c r="J56" s="350"/>
      <c r="K56" s="348"/>
      <c r="L56" s="350"/>
      <c r="M56" s="348"/>
      <c r="N56" s="350"/>
      <c r="O56" s="348"/>
      <c r="P56" s="386">
        <f t="shared" si="6"/>
        <v>0</v>
      </c>
      <c r="Q56" s="387">
        <f t="shared" si="7"/>
        <v>0</v>
      </c>
      <c r="R56" s="348"/>
      <c r="S56" s="249"/>
      <c r="T56" s="249"/>
      <c r="U56" s="249"/>
    </row>
    <row r="57" spans="1:21" ht="15.75" x14ac:dyDescent="0.25">
      <c r="A57" s="746"/>
      <c r="B57" s="749"/>
      <c r="C57" s="306"/>
      <c r="D57" s="306"/>
      <c r="E57" s="249"/>
      <c r="F57" s="306"/>
      <c r="G57" s="306"/>
      <c r="H57" s="250"/>
      <c r="I57" s="348"/>
      <c r="J57" s="350"/>
      <c r="K57" s="348"/>
      <c r="L57" s="350"/>
      <c r="M57" s="348"/>
      <c r="N57" s="350"/>
      <c r="O57" s="348"/>
      <c r="P57" s="386">
        <f t="shared" si="6"/>
        <v>0</v>
      </c>
      <c r="Q57" s="387">
        <f t="shared" si="7"/>
        <v>0</v>
      </c>
      <c r="R57" s="348"/>
      <c r="S57" s="249"/>
      <c r="T57" s="249"/>
      <c r="U57" s="249"/>
    </row>
    <row r="58" spans="1:21" ht="15.75" x14ac:dyDescent="0.25">
      <c r="A58" s="746"/>
      <c r="B58" s="749"/>
      <c r="C58" s="306"/>
      <c r="D58" s="306"/>
      <c r="E58" s="249"/>
      <c r="F58" s="306"/>
      <c r="G58" s="306"/>
      <c r="H58" s="250"/>
      <c r="I58" s="348"/>
      <c r="J58" s="350"/>
      <c r="K58" s="348"/>
      <c r="L58" s="350"/>
      <c r="M58" s="348"/>
      <c r="N58" s="350"/>
      <c r="O58" s="348"/>
      <c r="P58" s="386">
        <f t="shared" si="6"/>
        <v>0</v>
      </c>
      <c r="Q58" s="387">
        <f t="shared" si="7"/>
        <v>0</v>
      </c>
      <c r="R58" s="348"/>
      <c r="S58" s="249"/>
      <c r="T58" s="249"/>
      <c r="U58" s="249"/>
    </row>
    <row r="59" spans="1:21" ht="15.75" customHeight="1" x14ac:dyDescent="0.25">
      <c r="A59" s="746"/>
      <c r="B59" s="750" t="s">
        <v>1466</v>
      </c>
      <c r="C59" s="306"/>
      <c r="D59" s="306"/>
      <c r="E59" s="249"/>
      <c r="F59" s="306"/>
      <c r="G59" s="306"/>
      <c r="H59" s="250"/>
      <c r="I59" s="348"/>
      <c r="J59" s="350"/>
      <c r="K59" s="348"/>
      <c r="L59" s="350"/>
      <c r="M59" s="348"/>
      <c r="N59" s="350"/>
      <c r="O59" s="348"/>
      <c r="P59" s="386">
        <f t="shared" si="6"/>
        <v>0</v>
      </c>
      <c r="Q59" s="387">
        <f t="shared" si="7"/>
        <v>0</v>
      </c>
      <c r="R59" s="348"/>
      <c r="S59" s="249"/>
      <c r="T59" s="249"/>
      <c r="U59" s="249"/>
    </row>
    <row r="60" spans="1:21" ht="15.75" customHeight="1" x14ac:dyDescent="0.25">
      <c r="A60" s="746"/>
      <c r="B60" s="751"/>
      <c r="C60" s="306"/>
      <c r="D60" s="306"/>
      <c r="E60" s="249"/>
      <c r="F60" s="306"/>
      <c r="G60" s="306"/>
      <c r="H60" s="250"/>
      <c r="I60" s="348"/>
      <c r="J60" s="350"/>
      <c r="K60" s="348"/>
      <c r="L60" s="350"/>
      <c r="M60" s="348"/>
      <c r="N60" s="350"/>
      <c r="O60" s="348"/>
      <c r="P60" s="386">
        <f t="shared" si="6"/>
        <v>0</v>
      </c>
      <c r="Q60" s="387">
        <f t="shared" si="7"/>
        <v>0</v>
      </c>
      <c r="R60" s="348"/>
      <c r="S60" s="249"/>
      <c r="T60" s="249"/>
      <c r="U60" s="249"/>
    </row>
    <row r="61" spans="1:21" ht="15.75" x14ac:dyDescent="0.25">
      <c r="A61" s="746"/>
      <c r="B61" s="752"/>
      <c r="C61" s="306"/>
      <c r="D61" s="306"/>
      <c r="E61" s="249"/>
      <c r="F61" s="306"/>
      <c r="G61" s="306"/>
      <c r="H61" s="250"/>
      <c r="I61" s="348"/>
      <c r="J61" s="350"/>
      <c r="K61" s="348"/>
      <c r="L61" s="350"/>
      <c r="M61" s="348"/>
      <c r="N61" s="350"/>
      <c r="O61" s="348"/>
      <c r="P61" s="386">
        <f t="shared" si="6"/>
        <v>0</v>
      </c>
      <c r="Q61" s="387">
        <f t="shared" si="7"/>
        <v>0</v>
      </c>
      <c r="R61" s="348"/>
      <c r="S61" s="249"/>
      <c r="T61" s="249"/>
      <c r="U61" s="249"/>
    </row>
    <row r="62" spans="1:21" s="259" customFormat="1" ht="15.75" x14ac:dyDescent="0.25">
      <c r="A62" s="291"/>
      <c r="B62" s="292"/>
      <c r="C62" s="291" t="s">
        <v>97</v>
      </c>
      <c r="D62" s="292"/>
      <c r="E62" s="292"/>
      <c r="F62" s="292"/>
      <c r="G62" s="293"/>
      <c r="H62" s="262">
        <f>SUM(H8:H61)</f>
        <v>4.6000000000000005</v>
      </c>
      <c r="I62" s="262">
        <f t="shared" ref="I62:Q62" si="8">SUM(I8:I61)</f>
        <v>9937.5</v>
      </c>
      <c r="J62" s="262">
        <f t="shared" si="8"/>
        <v>7.39</v>
      </c>
      <c r="K62" s="262">
        <f t="shared" si="8"/>
        <v>23037.5</v>
      </c>
      <c r="L62" s="262">
        <f t="shared" si="8"/>
        <v>5.4600000000000009</v>
      </c>
      <c r="M62" s="262">
        <f t="shared" si="8"/>
        <v>17657.5</v>
      </c>
      <c r="N62" s="262">
        <f t="shared" si="8"/>
        <v>4.5599999999999996</v>
      </c>
      <c r="O62" s="262">
        <f t="shared" si="8"/>
        <v>11337.5</v>
      </c>
      <c r="P62" s="262">
        <f t="shared" si="8"/>
        <v>22.01</v>
      </c>
      <c r="Q62" s="262">
        <f t="shared" si="8"/>
        <v>61970</v>
      </c>
      <c r="R62" s="263"/>
      <c r="S62" s="263"/>
      <c r="T62" s="263"/>
      <c r="U62" s="263"/>
    </row>
    <row r="63" spans="1:21" ht="15.75" x14ac:dyDescent="0.25">
      <c r="A63" s="259"/>
      <c r="B63" s="259"/>
      <c r="C63" s="259"/>
      <c r="D63" s="259"/>
      <c r="E63" s="259"/>
      <c r="F63" s="258"/>
      <c r="G63" s="259"/>
      <c r="H63" s="259"/>
      <c r="S63" s="264"/>
      <c r="T63" s="264"/>
      <c r="U63" s="265"/>
    </row>
    <row r="64" spans="1:21" ht="15.75" x14ac:dyDescent="0.25">
      <c r="F64" s="258"/>
      <c r="S64" s="264"/>
      <c r="T64" s="264"/>
    </row>
    <row r="65" spans="6:20" ht="15.75" x14ac:dyDescent="0.25">
      <c r="F65" s="258"/>
      <c r="S65" s="264"/>
      <c r="T65" s="264"/>
    </row>
    <row r="66" spans="6:20" ht="15.75" x14ac:dyDescent="0.25">
      <c r="F66" s="258"/>
      <c r="S66" s="264"/>
      <c r="T66" s="264"/>
    </row>
    <row r="67" spans="6:20" ht="15.75" x14ac:dyDescent="0.25">
      <c r="F67" s="258"/>
      <c r="S67" s="264"/>
      <c r="T67" s="264"/>
    </row>
    <row r="68" spans="6:20" ht="15.75" x14ac:dyDescent="0.25">
      <c r="F68" s="258"/>
      <c r="S68" s="264"/>
      <c r="T68" s="264"/>
    </row>
    <row r="69" spans="6:20" ht="15.75" x14ac:dyDescent="0.25">
      <c r="F69" s="258"/>
      <c r="S69" s="264"/>
      <c r="T69" s="264"/>
    </row>
    <row r="70" spans="6:20" ht="15.75" x14ac:dyDescent="0.25">
      <c r="F70" s="258"/>
      <c r="S70" s="264"/>
      <c r="T70" s="264"/>
    </row>
    <row r="71" spans="6:20" ht="15.75" x14ac:dyDescent="0.25">
      <c r="F71" s="258"/>
      <c r="S71" s="264"/>
      <c r="T71" s="264"/>
    </row>
    <row r="72" spans="6:20" ht="15.75" x14ac:dyDescent="0.25">
      <c r="F72" s="258"/>
      <c r="S72" s="266"/>
      <c r="T72" s="266"/>
    </row>
    <row r="73" spans="6:20" ht="15.75" x14ac:dyDescent="0.25">
      <c r="F73" s="258"/>
      <c r="S73" s="264"/>
      <c r="T73" s="264"/>
    </row>
    <row r="74" spans="6:20" ht="15.75" x14ac:dyDescent="0.25">
      <c r="F74" s="258"/>
      <c r="S74" s="264"/>
      <c r="T74" s="264"/>
    </row>
    <row r="75" spans="6:20" ht="15.75" x14ac:dyDescent="0.25">
      <c r="F75" s="258"/>
      <c r="S75" s="264"/>
      <c r="T75" s="264"/>
    </row>
    <row r="76" spans="6:20" ht="15.75" x14ac:dyDescent="0.25">
      <c r="F76" s="258"/>
      <c r="S76" s="264"/>
      <c r="T76" s="264"/>
    </row>
    <row r="77" spans="6:20" ht="15.75" x14ac:dyDescent="0.25">
      <c r="F77" s="258"/>
      <c r="S77" s="264"/>
      <c r="T77" s="264"/>
    </row>
    <row r="78" spans="6:20" ht="15.75" x14ac:dyDescent="0.25">
      <c r="F78" s="258"/>
      <c r="S78" s="264"/>
      <c r="T78" s="264"/>
    </row>
    <row r="79" spans="6:20" ht="15.75" x14ac:dyDescent="0.25">
      <c r="F79" s="258"/>
      <c r="S79" s="264"/>
      <c r="T79" s="264"/>
    </row>
    <row r="80" spans="6:20" ht="15.75" x14ac:dyDescent="0.25">
      <c r="F80" s="258"/>
      <c r="S80" s="264"/>
      <c r="T80" s="264"/>
    </row>
    <row r="81" spans="6:20" ht="15.75" x14ac:dyDescent="0.25">
      <c r="F81" s="258"/>
      <c r="S81" s="264"/>
      <c r="T81" s="264"/>
    </row>
    <row r="82" spans="6:20" x14ac:dyDescent="0.25">
      <c r="S82" s="264"/>
      <c r="T82" s="264"/>
    </row>
    <row r="83" spans="6:20" x14ac:dyDescent="0.25">
      <c r="S83" s="264"/>
      <c r="T83" s="264"/>
    </row>
    <row r="84" spans="6:20" x14ac:dyDescent="0.25">
      <c r="S84" s="264"/>
      <c r="T84" s="264"/>
    </row>
    <row r="85" spans="6:20" x14ac:dyDescent="0.25">
      <c r="S85" s="264"/>
      <c r="T85" s="264"/>
    </row>
    <row r="86" spans="6:20" x14ac:dyDescent="0.25">
      <c r="S86" s="264"/>
      <c r="T86" s="264"/>
    </row>
    <row r="87" spans="6:20" x14ac:dyDescent="0.25">
      <c r="S87" s="264"/>
      <c r="T87" s="264"/>
    </row>
    <row r="88" spans="6:20" x14ac:dyDescent="0.25">
      <c r="S88" s="264"/>
      <c r="T88" s="264"/>
    </row>
    <row r="89" spans="6:20" x14ac:dyDescent="0.25">
      <c r="S89" s="264"/>
      <c r="T89" s="264"/>
    </row>
    <row r="93" spans="6:20" x14ac:dyDescent="0.25">
      <c r="F93" s="252"/>
      <c r="S93" s="261"/>
      <c r="T93" s="261"/>
    </row>
    <row r="94" spans="6:20" x14ac:dyDescent="0.25">
      <c r="F94" s="252"/>
      <c r="S94" s="261"/>
      <c r="T94" s="261"/>
    </row>
    <row r="95" spans="6:20" x14ac:dyDescent="0.25">
      <c r="F95" s="252"/>
      <c r="S95" s="261"/>
      <c r="T95" s="261"/>
    </row>
    <row r="96" spans="6:20" x14ac:dyDescent="0.25">
      <c r="F96" s="252"/>
      <c r="S96" s="261"/>
      <c r="T96" s="261"/>
    </row>
    <row r="97" spans="6:20" x14ac:dyDescent="0.25">
      <c r="F97" s="252"/>
      <c r="S97" s="261"/>
      <c r="T97" s="261"/>
    </row>
    <row r="98" spans="6:20" x14ac:dyDescent="0.25">
      <c r="F98" s="252"/>
      <c r="S98" s="261"/>
      <c r="T98" s="261"/>
    </row>
    <row r="99" spans="6:20" x14ac:dyDescent="0.25">
      <c r="F99" s="252"/>
      <c r="S99" s="261"/>
      <c r="T99" s="261"/>
    </row>
    <row r="100" spans="6:20" x14ac:dyDescent="0.25">
      <c r="F100" s="252"/>
      <c r="S100" s="261"/>
      <c r="T100" s="261"/>
    </row>
    <row r="101" spans="6:20" x14ac:dyDescent="0.25">
      <c r="F101" s="252"/>
      <c r="S101" s="261"/>
      <c r="T101" s="261"/>
    </row>
    <row r="102" spans="6:20" x14ac:dyDescent="0.25">
      <c r="F102" s="252"/>
      <c r="S102" s="261"/>
      <c r="T102" s="261"/>
    </row>
    <row r="103" spans="6:20" x14ac:dyDescent="0.25">
      <c r="F103" s="252"/>
      <c r="S103" s="261"/>
      <c r="T103" s="261"/>
    </row>
    <row r="104" spans="6:20" x14ac:dyDescent="0.25">
      <c r="F104" s="252"/>
      <c r="S104" s="261"/>
      <c r="T104" s="261"/>
    </row>
    <row r="105" spans="6:20" x14ac:dyDescent="0.25">
      <c r="F105" s="252"/>
      <c r="S105" s="261"/>
      <c r="T105" s="261"/>
    </row>
    <row r="106" spans="6:20" x14ac:dyDescent="0.25">
      <c r="F106" s="252"/>
      <c r="S106" s="261"/>
      <c r="T106" s="261"/>
    </row>
    <row r="107" spans="6:20" x14ac:dyDescent="0.25">
      <c r="F107" s="252"/>
      <c r="S107" s="261"/>
      <c r="T107" s="261"/>
    </row>
    <row r="108" spans="6:20" x14ac:dyDescent="0.25">
      <c r="F108" s="252"/>
      <c r="S108" s="261"/>
      <c r="T108" s="261"/>
    </row>
    <row r="109" spans="6:20" x14ac:dyDescent="0.25">
      <c r="F109" s="252"/>
      <c r="S109" s="261"/>
      <c r="T109" s="261"/>
    </row>
    <row r="110" spans="6:20" x14ac:dyDescent="0.25">
      <c r="F110" s="252"/>
      <c r="S110" s="261"/>
      <c r="T110" s="261"/>
    </row>
    <row r="111" spans="6:20" x14ac:dyDescent="0.25">
      <c r="F111" s="252"/>
      <c r="S111" s="261"/>
      <c r="T111" s="261"/>
    </row>
    <row r="112" spans="6:20" x14ac:dyDescent="0.25">
      <c r="F112" s="252"/>
      <c r="S112" s="261"/>
      <c r="T112" s="261"/>
    </row>
    <row r="113" spans="6:20" x14ac:dyDescent="0.25">
      <c r="F113" s="252"/>
      <c r="S113" s="261"/>
      <c r="T113" s="261"/>
    </row>
    <row r="114" spans="6:20" x14ac:dyDescent="0.25">
      <c r="F114" s="252"/>
      <c r="S114" s="261"/>
      <c r="T114" s="261"/>
    </row>
    <row r="115" spans="6:20" x14ac:dyDescent="0.25">
      <c r="F115" s="252"/>
      <c r="S115" s="261"/>
      <c r="T115" s="261"/>
    </row>
    <row r="116" spans="6:20" x14ac:dyDescent="0.25">
      <c r="F116" s="252"/>
      <c r="S116" s="261"/>
      <c r="T116" s="261"/>
    </row>
    <row r="117" spans="6:20" x14ac:dyDescent="0.25">
      <c r="F117" s="252"/>
      <c r="S117" s="261"/>
      <c r="T117" s="261"/>
    </row>
    <row r="118" spans="6:20" x14ac:dyDescent="0.25">
      <c r="F118" s="252"/>
      <c r="S118" s="261"/>
      <c r="T118" s="261"/>
    </row>
    <row r="119" spans="6:20" x14ac:dyDescent="0.25">
      <c r="F119" s="252"/>
    </row>
    <row r="120" spans="6:20" x14ac:dyDescent="0.25">
      <c r="F120" s="252"/>
    </row>
    <row r="121" spans="6:20" x14ac:dyDescent="0.25">
      <c r="F121" s="252"/>
    </row>
    <row r="122" spans="6:20" x14ac:dyDescent="0.25">
      <c r="F122" s="252"/>
    </row>
    <row r="123" spans="6:20" x14ac:dyDescent="0.25">
      <c r="F123" s="252"/>
    </row>
    <row r="124" spans="6:20" x14ac:dyDescent="0.25">
      <c r="F124" s="252"/>
    </row>
    <row r="125" spans="6:20" x14ac:dyDescent="0.25">
      <c r="F125" s="252"/>
    </row>
    <row r="126" spans="6:20" x14ac:dyDescent="0.25">
      <c r="F126" s="252"/>
    </row>
    <row r="127" spans="6:20" x14ac:dyDescent="0.25">
      <c r="F127" s="252"/>
      <c r="S127" s="261"/>
      <c r="T127" s="261"/>
    </row>
    <row r="128" spans="6:20" x14ac:dyDescent="0.25">
      <c r="F128" s="252"/>
      <c r="S128" s="261"/>
      <c r="T128" s="261"/>
    </row>
    <row r="129" spans="6:20" x14ac:dyDescent="0.25">
      <c r="F129" s="252"/>
      <c r="S129" s="261"/>
      <c r="T129" s="261"/>
    </row>
    <row r="130" spans="6:20" x14ac:dyDescent="0.25">
      <c r="F130" s="252"/>
      <c r="S130" s="261"/>
      <c r="T130" s="261"/>
    </row>
    <row r="131" spans="6:20" x14ac:dyDescent="0.25">
      <c r="F131" s="252"/>
      <c r="S131" s="261"/>
      <c r="T131" s="261"/>
    </row>
    <row r="132" spans="6:20" x14ac:dyDescent="0.25">
      <c r="F132" s="252"/>
      <c r="S132" s="261"/>
      <c r="T132" s="261"/>
    </row>
    <row r="133" spans="6:20" x14ac:dyDescent="0.25">
      <c r="F133" s="252"/>
      <c r="S133" s="261"/>
      <c r="T133" s="261"/>
    </row>
    <row r="134" spans="6:20" x14ac:dyDescent="0.25">
      <c r="F134" s="252"/>
      <c r="S134" s="261"/>
      <c r="T134" s="261"/>
    </row>
    <row r="135" spans="6:20" x14ac:dyDescent="0.25">
      <c r="F135" s="252"/>
      <c r="S135" s="261"/>
      <c r="T135" s="261"/>
    </row>
    <row r="136" spans="6:20" x14ac:dyDescent="0.25">
      <c r="F136" s="252"/>
      <c r="S136" s="261"/>
      <c r="T136" s="261"/>
    </row>
    <row r="137" spans="6:20" x14ac:dyDescent="0.25">
      <c r="F137" s="252"/>
      <c r="S137" s="261"/>
      <c r="T137" s="261"/>
    </row>
    <row r="138" spans="6:20" x14ac:dyDescent="0.25">
      <c r="F138" s="252"/>
      <c r="S138" s="261"/>
      <c r="T138" s="261"/>
    </row>
    <row r="139" spans="6:20" x14ac:dyDescent="0.25">
      <c r="F139" s="252"/>
      <c r="S139" s="261"/>
      <c r="T139" s="261"/>
    </row>
    <row r="140" spans="6:20" x14ac:dyDescent="0.25">
      <c r="F140" s="252"/>
      <c r="S140" s="261"/>
      <c r="T140" s="261"/>
    </row>
    <row r="141" spans="6:20" x14ac:dyDescent="0.25">
      <c r="F141" s="252"/>
      <c r="S141" s="261"/>
      <c r="T141" s="261"/>
    </row>
    <row r="142" spans="6:20" x14ac:dyDescent="0.25">
      <c r="F142" s="252"/>
      <c r="S142" s="261"/>
      <c r="T142" s="261"/>
    </row>
    <row r="143" spans="6:20" x14ac:dyDescent="0.25">
      <c r="F143" s="252"/>
      <c r="S143" s="261"/>
      <c r="T143" s="261"/>
    </row>
    <row r="144" spans="6:20" x14ac:dyDescent="0.25">
      <c r="F144" s="252"/>
      <c r="S144" s="261"/>
      <c r="T144" s="261"/>
    </row>
    <row r="145" spans="6:20" x14ac:dyDescent="0.25">
      <c r="F145" s="252"/>
      <c r="S145" s="261"/>
      <c r="T145" s="261"/>
    </row>
    <row r="146" spans="6:20" x14ac:dyDescent="0.25">
      <c r="F146" s="252"/>
      <c r="S146" s="261"/>
      <c r="T146" s="261"/>
    </row>
    <row r="147" spans="6:20" x14ac:dyDescent="0.25">
      <c r="F147" s="252"/>
      <c r="S147" s="261"/>
      <c r="T147" s="261"/>
    </row>
    <row r="148" spans="6:20" x14ac:dyDescent="0.25">
      <c r="F148" s="252"/>
      <c r="S148" s="261"/>
      <c r="T148" s="261"/>
    </row>
    <row r="149" spans="6:20" x14ac:dyDescent="0.25">
      <c r="F149" s="252"/>
      <c r="S149" s="261"/>
      <c r="T149" s="261"/>
    </row>
    <row r="150" spans="6:20" x14ac:dyDescent="0.25">
      <c r="F150" s="252"/>
      <c r="S150" s="261"/>
      <c r="T150" s="261"/>
    </row>
    <row r="151" spans="6:20" x14ac:dyDescent="0.25">
      <c r="F151" s="252"/>
      <c r="S151" s="261"/>
      <c r="T151" s="261"/>
    </row>
    <row r="152" spans="6:20" x14ac:dyDescent="0.25">
      <c r="F152" s="252"/>
      <c r="S152" s="261"/>
      <c r="T152" s="261"/>
    </row>
    <row r="153" spans="6:20" x14ac:dyDescent="0.25">
      <c r="F153" s="252"/>
      <c r="S153" s="261"/>
      <c r="T153" s="261"/>
    </row>
    <row r="154" spans="6:20" x14ac:dyDescent="0.25">
      <c r="F154" s="252"/>
      <c r="S154" s="261"/>
      <c r="T154" s="261"/>
    </row>
    <row r="155" spans="6:20" x14ac:dyDescent="0.25">
      <c r="F155" s="252"/>
      <c r="S155" s="261"/>
      <c r="T155" s="261"/>
    </row>
    <row r="156" spans="6:20" x14ac:dyDescent="0.25">
      <c r="F156" s="252"/>
      <c r="S156" s="261"/>
      <c r="T156" s="261"/>
    </row>
    <row r="157" spans="6:20" x14ac:dyDescent="0.25">
      <c r="F157" s="252"/>
      <c r="S157" s="261"/>
      <c r="T157" s="261"/>
    </row>
    <row r="158" spans="6:20" x14ac:dyDescent="0.25">
      <c r="F158" s="252"/>
      <c r="S158" s="261"/>
      <c r="T158" s="261"/>
    </row>
  </sheetData>
  <mergeCells count="33">
    <mergeCell ref="A5:A7"/>
    <mergeCell ref="A34:A61"/>
    <mergeCell ref="A11:A33"/>
    <mergeCell ref="B12:B13"/>
    <mergeCell ref="B14:B15"/>
    <mergeCell ref="B16:B19"/>
    <mergeCell ref="B26:B33"/>
    <mergeCell ref="B34:B36"/>
    <mergeCell ref="B9:B10"/>
    <mergeCell ref="A9:A10"/>
    <mergeCell ref="B37:B39"/>
    <mergeCell ref="B40:B43"/>
    <mergeCell ref="J6:K6"/>
    <mergeCell ref="B56:B58"/>
    <mergeCell ref="B52:B55"/>
    <mergeCell ref="B59:B61"/>
    <mergeCell ref="D5:D7"/>
    <mergeCell ref="L6:M6"/>
    <mergeCell ref="N6:O6"/>
    <mergeCell ref="B44:B47"/>
    <mergeCell ref="B48:B51"/>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61">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topLeftCell="D1" zoomScale="90" zoomScaleNormal="90" workbookViewId="0">
      <pane ySplit="6" topLeftCell="A7" activePane="bottomLeft" state="frozen"/>
      <selection activeCell="O6" sqref="O6"/>
      <selection pane="bottomLeft" activeCell="G8" sqref="G8"/>
    </sheetView>
  </sheetViews>
  <sheetFormatPr baseColWidth="10" defaultRowHeight="15" x14ac:dyDescent="0.25"/>
  <cols>
    <col min="1" max="1" width="40" customWidth="1"/>
    <col min="2" max="2" width="21.7109375" customWidth="1"/>
    <col min="3" max="3" width="30.5703125" customWidth="1"/>
    <col min="4" max="4" width="30.5703125" style="464"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19" width="25" customWidth="1"/>
    <col min="20" max="21" width="14.140625" customWidth="1"/>
    <col min="22" max="22" width="17" customWidth="1"/>
  </cols>
  <sheetData>
    <row r="1" spans="1:22" ht="18.75" x14ac:dyDescent="0.25">
      <c r="B1" s="283"/>
      <c r="C1" s="512" t="s">
        <v>1683</v>
      </c>
      <c r="D1" s="283"/>
      <c r="E1" s="283"/>
      <c r="F1" s="283"/>
      <c r="G1" s="283"/>
      <c r="H1" s="283" t="s">
        <v>476</v>
      </c>
      <c r="J1" s="283"/>
      <c r="K1" s="283"/>
      <c r="L1" s="283"/>
      <c r="M1" s="283"/>
      <c r="N1" s="283"/>
      <c r="O1" s="283"/>
      <c r="P1" s="283"/>
      <c r="Q1" s="283"/>
      <c r="R1" s="283"/>
      <c r="S1" s="283"/>
      <c r="T1" s="283"/>
      <c r="U1" s="283"/>
      <c r="V1" s="283"/>
    </row>
    <row r="2" spans="1:22" ht="18.75" x14ac:dyDescent="0.25">
      <c r="A2" s="317" t="s">
        <v>1346</v>
      </c>
      <c r="B2" s="283"/>
      <c r="C2" s="283"/>
      <c r="D2" s="283"/>
      <c r="E2" s="283"/>
      <c r="F2" s="283"/>
      <c r="G2" s="283"/>
      <c r="H2" s="283"/>
      <c r="J2" s="283"/>
      <c r="K2" s="283"/>
      <c r="L2" s="283"/>
      <c r="M2" s="283"/>
      <c r="N2" s="283"/>
      <c r="O2" s="283"/>
      <c r="P2" s="283"/>
      <c r="Q2" s="283"/>
      <c r="R2" s="283"/>
      <c r="S2" s="283"/>
      <c r="T2" s="283"/>
      <c r="U2" s="283"/>
      <c r="V2" s="283"/>
    </row>
    <row r="3" spans="1:22" x14ac:dyDescent="0.25">
      <c r="A3" s="755" t="s">
        <v>1348</v>
      </c>
      <c r="B3" s="755"/>
      <c r="C3" s="755"/>
      <c r="D3" s="755"/>
      <c r="E3" s="755"/>
      <c r="F3" s="755"/>
      <c r="G3" s="755"/>
      <c r="H3" s="755"/>
      <c r="I3" s="755"/>
      <c r="J3" s="755"/>
      <c r="K3" s="755"/>
      <c r="L3" s="755"/>
      <c r="M3" s="755"/>
      <c r="N3" s="755"/>
      <c r="O3" s="755"/>
      <c r="P3" s="755"/>
      <c r="Q3" s="755"/>
      <c r="R3" s="755"/>
      <c r="S3" s="755"/>
      <c r="T3" s="755"/>
      <c r="U3" s="755"/>
      <c r="V3" s="755"/>
    </row>
    <row r="4" spans="1:22" ht="1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101</v>
      </c>
      <c r="S4" s="722" t="s">
        <v>102</v>
      </c>
      <c r="T4" s="722" t="s">
        <v>109</v>
      </c>
      <c r="U4" s="722" t="s">
        <v>108</v>
      </c>
      <c r="V4" s="738" t="s">
        <v>88</v>
      </c>
    </row>
    <row r="5" spans="1:22"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20"/>
      <c r="V5" s="739"/>
    </row>
    <row r="6" spans="1:22" ht="25.5"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21"/>
      <c r="V6" s="740"/>
    </row>
    <row r="7" spans="1:22" s="365"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x14ac:dyDescent="0.25">
      <c r="A8" s="745" t="s">
        <v>1380</v>
      </c>
      <c r="B8" s="745" t="s">
        <v>1381</v>
      </c>
      <c r="C8" s="324" t="s">
        <v>1683</v>
      </c>
      <c r="D8" s="525" t="s">
        <v>1798</v>
      </c>
      <c r="E8" s="324" t="s">
        <v>1794</v>
      </c>
      <c r="F8" s="364" t="s">
        <v>1799</v>
      </c>
      <c r="G8" s="525" t="s">
        <v>1792</v>
      </c>
      <c r="H8" s="250">
        <v>1</v>
      </c>
      <c r="I8" s="230">
        <f>+'5. ACTIVIDADES ESPECIALES'!D65</f>
        <v>1600</v>
      </c>
      <c r="J8" s="250"/>
      <c r="K8" s="230"/>
      <c r="L8" s="250"/>
      <c r="M8" s="230"/>
      <c r="N8" s="250"/>
      <c r="O8" s="230"/>
      <c r="P8" s="381">
        <f t="shared" ref="P8:P20" si="0">H8+J8+L8+N8</f>
        <v>1</v>
      </c>
      <c r="Q8" s="382">
        <f t="shared" ref="Q8:Q20" si="1">I8+K8+M8+O8</f>
        <v>1600</v>
      </c>
      <c r="R8" s="249"/>
      <c r="S8" s="551" t="s">
        <v>1793</v>
      </c>
      <c r="T8" s="249" t="s">
        <v>1797</v>
      </c>
      <c r="U8" s="249" t="s">
        <v>1795</v>
      </c>
      <c r="V8" s="249" t="s">
        <v>1796</v>
      </c>
    </row>
    <row r="9" spans="1:22" ht="157.5" x14ac:dyDescent="0.25">
      <c r="A9" s="746"/>
      <c r="B9" s="746"/>
      <c r="C9" s="324"/>
      <c r="D9" s="555" t="s">
        <v>1808</v>
      </c>
      <c r="E9" s="549" t="s">
        <v>1794</v>
      </c>
      <c r="F9" s="364" t="s">
        <v>1809</v>
      </c>
      <c r="G9" s="525" t="s">
        <v>1807</v>
      </c>
      <c r="H9" s="250"/>
      <c r="I9" s="230"/>
      <c r="J9" s="250">
        <v>1</v>
      </c>
      <c r="K9" s="230">
        <f>+'5. ACTIVIDADES ESPECIALES'!D87</f>
        <v>1600</v>
      </c>
      <c r="L9" s="250"/>
      <c r="M9" s="230"/>
      <c r="N9" s="250"/>
      <c r="O9" s="230"/>
      <c r="P9" s="381">
        <f t="shared" si="0"/>
        <v>1</v>
      </c>
      <c r="Q9" s="382">
        <f t="shared" si="1"/>
        <v>1600</v>
      </c>
      <c r="R9" s="249"/>
      <c r="S9" s="556" t="s">
        <v>1810</v>
      </c>
      <c r="T9" s="249" t="s">
        <v>1811</v>
      </c>
      <c r="U9" s="249" t="s">
        <v>1795</v>
      </c>
      <c r="V9" s="249" t="s">
        <v>1796</v>
      </c>
    </row>
    <row r="10" spans="1:22" ht="78.75" x14ac:dyDescent="0.25">
      <c r="A10" s="746"/>
      <c r="B10" s="746"/>
      <c r="C10" s="324"/>
      <c r="D10" s="493"/>
      <c r="E10" s="324"/>
      <c r="F10" s="364" t="s">
        <v>2012</v>
      </c>
      <c r="G10" s="596" t="s">
        <v>2011</v>
      </c>
      <c r="H10" s="250"/>
      <c r="I10" s="230"/>
      <c r="J10" s="250">
        <v>1</v>
      </c>
      <c r="K10" s="230"/>
      <c r="L10" s="250"/>
      <c r="M10" s="230"/>
      <c r="N10" s="250"/>
      <c r="O10" s="230"/>
      <c r="P10" s="381">
        <f t="shared" si="0"/>
        <v>1</v>
      </c>
      <c r="Q10" s="382">
        <f t="shared" si="1"/>
        <v>0</v>
      </c>
      <c r="R10" s="249"/>
      <c r="S10" s="559" t="s">
        <v>2013</v>
      </c>
      <c r="T10" s="249" t="s">
        <v>1811</v>
      </c>
      <c r="U10" s="249" t="s">
        <v>1795</v>
      </c>
      <c r="V10" s="249" t="s">
        <v>2014</v>
      </c>
    </row>
    <row r="11" spans="1:22" ht="78.75" x14ac:dyDescent="0.25">
      <c r="A11" s="746"/>
      <c r="B11" s="746"/>
      <c r="C11" s="324"/>
      <c r="D11" s="493"/>
      <c r="E11" s="324"/>
      <c r="F11" s="364" t="s">
        <v>2016</v>
      </c>
      <c r="G11" s="525" t="s">
        <v>2015</v>
      </c>
      <c r="H11" s="250"/>
      <c r="I11" s="230"/>
      <c r="J11" s="250">
        <v>1</v>
      </c>
      <c r="K11" s="230">
        <f>+'1. TALLERES SEMINARIOS'!D36</f>
        <v>2925</v>
      </c>
      <c r="L11" s="250"/>
      <c r="M11" s="230"/>
      <c r="N11" s="250"/>
      <c r="O11" s="230"/>
      <c r="P11" s="381">
        <f t="shared" si="0"/>
        <v>1</v>
      </c>
      <c r="Q11" s="382">
        <f t="shared" si="1"/>
        <v>2925</v>
      </c>
      <c r="R11" s="249"/>
      <c r="S11" s="556" t="s">
        <v>2017</v>
      </c>
      <c r="T11" s="249" t="s">
        <v>1811</v>
      </c>
      <c r="U11" s="249" t="s">
        <v>2018</v>
      </c>
      <c r="V11" s="249" t="s">
        <v>2014</v>
      </c>
    </row>
    <row r="12" spans="1:22" ht="78.75" x14ac:dyDescent="0.25">
      <c r="A12" s="746"/>
      <c r="B12" s="746"/>
      <c r="C12" s="324"/>
      <c r="D12" s="493"/>
      <c r="E12" s="324"/>
      <c r="F12" s="364" t="s">
        <v>2049</v>
      </c>
      <c r="G12" s="568" t="s">
        <v>2048</v>
      </c>
      <c r="H12" s="250">
        <v>0.33</v>
      </c>
      <c r="I12" s="230"/>
      <c r="J12" s="250">
        <v>0.67</v>
      </c>
      <c r="K12" s="230"/>
      <c r="L12" s="250"/>
      <c r="M12" s="230"/>
      <c r="N12" s="250"/>
      <c r="O12" s="230"/>
      <c r="P12" s="381">
        <f t="shared" si="0"/>
        <v>1</v>
      </c>
      <c r="Q12" s="382">
        <f t="shared" si="1"/>
        <v>0</v>
      </c>
      <c r="R12" s="249"/>
      <c r="S12" s="249" t="s">
        <v>2053</v>
      </c>
      <c r="T12" s="249" t="s">
        <v>2050</v>
      </c>
      <c r="U12" s="249" t="s">
        <v>2051</v>
      </c>
      <c r="V12" s="249" t="s">
        <v>2052</v>
      </c>
    </row>
    <row r="13" spans="1:22" ht="252" x14ac:dyDescent="0.25">
      <c r="A13" s="746"/>
      <c r="B13" s="746"/>
      <c r="C13" s="324" t="s">
        <v>1683</v>
      </c>
      <c r="D13" s="616" t="s">
        <v>2147</v>
      </c>
      <c r="E13" s="616" t="s">
        <v>2148</v>
      </c>
      <c r="F13" s="364" t="s">
        <v>2149</v>
      </c>
      <c r="G13" s="525" t="s">
        <v>2150</v>
      </c>
      <c r="H13" s="250"/>
      <c r="I13" s="230"/>
      <c r="J13" s="250">
        <v>0.5</v>
      </c>
      <c r="K13" s="230">
        <f>+J13*'5. ACTIVIDADES ESPECIALES'!D326</f>
        <v>10850</v>
      </c>
      <c r="L13" s="250">
        <v>0.5</v>
      </c>
      <c r="M13" s="230">
        <f>+L13*'5. ACTIVIDADES ESPECIALES'!D326</f>
        <v>10850</v>
      </c>
      <c r="N13" s="250"/>
      <c r="O13" s="230"/>
      <c r="P13" s="381">
        <f t="shared" si="0"/>
        <v>1</v>
      </c>
      <c r="Q13" s="382">
        <f t="shared" si="1"/>
        <v>21700</v>
      </c>
      <c r="R13" s="249"/>
      <c r="S13" s="249" t="s">
        <v>2151</v>
      </c>
      <c r="T13" s="249" t="s">
        <v>2152</v>
      </c>
      <c r="U13" s="249" t="s">
        <v>2153</v>
      </c>
      <c r="V13" s="249" t="s">
        <v>2146</v>
      </c>
    </row>
    <row r="14" spans="1:22" ht="94.5" x14ac:dyDescent="0.25">
      <c r="A14" s="746"/>
      <c r="B14" s="746"/>
      <c r="C14" s="566" t="s">
        <v>1683</v>
      </c>
      <c r="D14" s="616" t="s">
        <v>2159</v>
      </c>
      <c r="E14" s="616" t="s">
        <v>2148</v>
      </c>
      <c r="F14" s="364" t="s">
        <v>2156</v>
      </c>
      <c r="G14" s="525" t="s">
        <v>2155</v>
      </c>
      <c r="H14" s="250"/>
      <c r="I14" s="230"/>
      <c r="J14" s="250">
        <v>1</v>
      </c>
      <c r="K14" s="230">
        <f>+'5. ACTIVIDADES ESPECIALES'!D337</f>
        <v>15000</v>
      </c>
      <c r="L14" s="250"/>
      <c r="M14" s="230"/>
      <c r="N14" s="250"/>
      <c r="O14" s="230"/>
      <c r="P14" s="381">
        <f t="shared" si="0"/>
        <v>1</v>
      </c>
      <c r="Q14" s="382">
        <f t="shared" si="1"/>
        <v>15000</v>
      </c>
      <c r="R14" s="249"/>
      <c r="S14" s="249" t="s">
        <v>2158</v>
      </c>
      <c r="T14" s="249" t="s">
        <v>2152</v>
      </c>
      <c r="U14" s="249" t="s">
        <v>2157</v>
      </c>
      <c r="V14" s="249" t="s">
        <v>2146</v>
      </c>
    </row>
    <row r="15" spans="1:22" ht="15.75" x14ac:dyDescent="0.25">
      <c r="A15" s="746"/>
      <c r="B15" s="746"/>
      <c r="C15" s="324"/>
      <c r="D15" s="493"/>
      <c r="E15" s="324"/>
      <c r="F15" s="364"/>
      <c r="G15" s="249"/>
      <c r="H15" s="250"/>
      <c r="I15" s="230"/>
      <c r="J15" s="250"/>
      <c r="K15" s="230"/>
      <c r="L15" s="250"/>
      <c r="M15" s="230"/>
      <c r="N15" s="250"/>
      <c r="O15" s="230"/>
      <c r="P15" s="381">
        <f t="shared" si="0"/>
        <v>0</v>
      </c>
      <c r="Q15" s="382">
        <f t="shared" si="1"/>
        <v>0</v>
      </c>
      <c r="R15" s="249"/>
      <c r="S15" s="249"/>
      <c r="T15" s="249"/>
      <c r="U15" s="249"/>
      <c r="V15" s="249"/>
    </row>
    <row r="16" spans="1:22" ht="15.75" x14ac:dyDescent="0.25">
      <c r="A16" s="746"/>
      <c r="B16" s="746"/>
      <c r="C16" s="324"/>
      <c r="D16" s="493"/>
      <c r="E16" s="324"/>
      <c r="F16" s="364"/>
      <c r="G16" s="249"/>
      <c r="H16" s="250"/>
      <c r="I16" s="230"/>
      <c r="J16" s="250"/>
      <c r="K16" s="230"/>
      <c r="L16" s="250"/>
      <c r="M16" s="230"/>
      <c r="N16" s="250"/>
      <c r="O16" s="230"/>
      <c r="P16" s="381">
        <f t="shared" si="0"/>
        <v>0</v>
      </c>
      <c r="Q16" s="382">
        <f t="shared" si="1"/>
        <v>0</v>
      </c>
      <c r="R16" s="249"/>
      <c r="S16" s="249"/>
      <c r="T16" s="249"/>
      <c r="U16" s="249"/>
      <c r="V16" s="249"/>
    </row>
    <row r="17" spans="1:22" ht="15.75" x14ac:dyDescent="0.25">
      <c r="A17" s="746"/>
      <c r="B17" s="746"/>
      <c r="C17" s="324"/>
      <c r="D17" s="493"/>
      <c r="E17" s="324"/>
      <c r="F17" s="364"/>
      <c r="G17" s="253"/>
      <c r="H17" s="253"/>
      <c r="I17" s="269"/>
      <c r="J17" s="253"/>
      <c r="K17" s="269"/>
      <c r="L17" s="253"/>
      <c r="M17" s="269"/>
      <c r="N17" s="253"/>
      <c r="O17" s="269"/>
      <c r="P17" s="389">
        <f t="shared" si="0"/>
        <v>0</v>
      </c>
      <c r="Q17" s="390">
        <f t="shared" si="1"/>
        <v>0</v>
      </c>
      <c r="R17" s="253"/>
      <c r="S17" s="253"/>
      <c r="T17" s="253"/>
      <c r="U17" s="253"/>
      <c r="V17" s="253"/>
    </row>
    <row r="18" spans="1:22" ht="15.75" x14ac:dyDescent="0.25">
      <c r="A18" s="746"/>
      <c r="B18" s="746"/>
      <c r="C18" s="324"/>
      <c r="D18" s="493"/>
      <c r="E18" s="324"/>
      <c r="F18" s="364"/>
      <c r="G18" s="249"/>
      <c r="H18" s="249"/>
      <c r="I18" s="230"/>
      <c r="J18" s="249"/>
      <c r="K18" s="230"/>
      <c r="L18" s="249"/>
      <c r="M18" s="230"/>
      <c r="N18" s="249"/>
      <c r="O18" s="230"/>
      <c r="P18" s="381">
        <f t="shared" si="0"/>
        <v>0</v>
      </c>
      <c r="Q18" s="382">
        <f t="shared" si="1"/>
        <v>0</v>
      </c>
      <c r="R18" s="270"/>
      <c r="S18" s="270"/>
      <c r="T18" s="270"/>
      <c r="U18" s="249"/>
      <c r="V18" s="271"/>
    </row>
    <row r="19" spans="1:22" ht="15.75" x14ac:dyDescent="0.25">
      <c r="A19" s="746"/>
      <c r="B19" s="746"/>
      <c r="C19" s="324"/>
      <c r="D19" s="493"/>
      <c r="E19" s="324"/>
      <c r="F19" s="364"/>
      <c r="G19" s="253"/>
      <c r="H19" s="253"/>
      <c r="I19" s="269"/>
      <c r="J19" s="253"/>
      <c r="K19" s="269"/>
      <c r="L19" s="253"/>
      <c r="M19" s="269"/>
      <c r="N19" s="253"/>
      <c r="O19" s="269"/>
      <c r="P19" s="389">
        <f t="shared" si="0"/>
        <v>0</v>
      </c>
      <c r="Q19" s="390">
        <f t="shared" si="1"/>
        <v>0</v>
      </c>
      <c r="R19" s="253"/>
      <c r="S19" s="253"/>
      <c r="T19" s="253"/>
      <c r="U19" s="253"/>
      <c r="V19" s="253"/>
    </row>
    <row r="20" spans="1:22" ht="15.75" x14ac:dyDescent="0.25">
      <c r="A20" s="747"/>
      <c r="B20" s="747"/>
      <c r="C20" s="324"/>
      <c r="D20" s="493"/>
      <c r="E20" s="324"/>
      <c r="F20" s="364"/>
      <c r="G20" s="249"/>
      <c r="H20" s="250"/>
      <c r="I20" s="230"/>
      <c r="J20" s="250"/>
      <c r="K20" s="230"/>
      <c r="L20" s="250"/>
      <c r="M20" s="230"/>
      <c r="N20" s="249"/>
      <c r="O20" s="230"/>
      <c r="P20" s="381">
        <f t="shared" si="0"/>
        <v>0</v>
      </c>
      <c r="Q20" s="382">
        <f t="shared" si="1"/>
        <v>0</v>
      </c>
      <c r="R20" s="249"/>
      <c r="S20" s="249"/>
      <c r="T20" s="249"/>
      <c r="U20" s="249"/>
      <c r="V20" s="249"/>
    </row>
    <row r="21" spans="1:22" ht="15.75" x14ac:dyDescent="0.25">
      <c r="A21" s="291"/>
      <c r="B21" s="292"/>
      <c r="C21" s="291" t="s">
        <v>1382</v>
      </c>
      <c r="D21" s="292"/>
      <c r="E21" s="292"/>
      <c r="F21" s="292"/>
      <c r="G21" s="293"/>
      <c r="H21" s="262">
        <f t="shared" ref="H21:Q21" si="2">SUM(H8:H20)</f>
        <v>1.33</v>
      </c>
      <c r="I21" s="272">
        <f t="shared" si="2"/>
        <v>1600</v>
      </c>
      <c r="J21" s="262">
        <f t="shared" si="2"/>
        <v>5.17</v>
      </c>
      <c r="K21" s="272">
        <f t="shared" si="2"/>
        <v>30375</v>
      </c>
      <c r="L21" s="262">
        <f t="shared" si="2"/>
        <v>0.5</v>
      </c>
      <c r="M21" s="272">
        <f t="shared" si="2"/>
        <v>10850</v>
      </c>
      <c r="N21" s="262">
        <f t="shared" si="2"/>
        <v>0</v>
      </c>
      <c r="O21" s="272">
        <f t="shared" si="2"/>
        <v>0</v>
      </c>
      <c r="P21" s="272">
        <f t="shared" si="2"/>
        <v>7</v>
      </c>
      <c r="Q21" s="272">
        <f t="shared" si="2"/>
        <v>42825</v>
      </c>
      <c r="R21" s="263"/>
      <c r="S21" s="263"/>
      <c r="T21" s="263"/>
      <c r="U21" s="263"/>
      <c r="V21" s="263"/>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4"/>
  <sheetViews>
    <sheetView topLeftCell="D1" zoomScale="80" zoomScaleNormal="80" workbookViewId="0">
      <pane ySplit="8" topLeftCell="A9" activePane="bottomLeft" state="frozen"/>
      <selection activeCell="A7" sqref="A7"/>
      <selection pane="bottomLeft" activeCell="G11" sqref="G11"/>
    </sheetView>
  </sheetViews>
  <sheetFormatPr baseColWidth="10" defaultRowHeight="15" x14ac:dyDescent="0.25"/>
  <cols>
    <col min="1" max="1" width="21.7109375" customWidth="1"/>
    <col min="2" max="2" width="41.4257812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4" customWidth="1"/>
    <col min="17" max="17" width="18.28515625" style="395" customWidth="1"/>
    <col min="18" max="20" width="14.140625" customWidth="1"/>
    <col min="21" max="21" width="17" customWidth="1"/>
  </cols>
  <sheetData>
    <row r="1" spans="1:33" ht="18.75" x14ac:dyDescent="0.25">
      <c r="C1" s="513" t="s">
        <v>1594</v>
      </c>
      <c r="D1" s="513" t="s">
        <v>1595</v>
      </c>
      <c r="H1" s="283" t="s">
        <v>1383</v>
      </c>
      <c r="J1" s="283"/>
      <c r="K1" s="283"/>
      <c r="M1" s="513" t="s">
        <v>1573</v>
      </c>
      <c r="N1" s="513" t="s">
        <v>1574</v>
      </c>
      <c r="O1" s="513" t="s">
        <v>1575</v>
      </c>
      <c r="P1" s="513" t="s">
        <v>1576</v>
      </c>
      <c r="Q1" s="513" t="s">
        <v>1577</v>
      </c>
      <c r="R1" s="513" t="s">
        <v>1578</v>
      </c>
      <c r="S1" s="513" t="s">
        <v>1579</v>
      </c>
      <c r="T1" s="513" t="s">
        <v>1580</v>
      </c>
      <c r="U1" s="513" t="s">
        <v>1581</v>
      </c>
      <c r="V1" s="513" t="s">
        <v>1582</v>
      </c>
      <c r="W1" s="513" t="s">
        <v>1583</v>
      </c>
      <c r="X1" s="513" t="s">
        <v>1584</v>
      </c>
      <c r="Y1" s="513" t="s">
        <v>1585</v>
      </c>
      <c r="Z1" s="513" t="s">
        <v>1586</v>
      </c>
      <c r="AA1" s="513" t="s">
        <v>1587</v>
      </c>
      <c r="AB1" s="513" t="s">
        <v>1588</v>
      </c>
      <c r="AC1" s="513" t="s">
        <v>1589</v>
      </c>
      <c r="AD1" s="513" t="s">
        <v>1590</v>
      </c>
      <c r="AE1" s="513" t="s">
        <v>1591</v>
      </c>
      <c r="AF1" s="513" t="s">
        <v>1592</v>
      </c>
      <c r="AG1" s="513" t="s">
        <v>1593</v>
      </c>
    </row>
    <row r="2" spans="1:33" ht="18.75" x14ac:dyDescent="0.25">
      <c r="A2" s="314" t="s">
        <v>1346</v>
      </c>
      <c r="H2" s="283"/>
      <c r="J2" s="283"/>
      <c r="K2" s="283"/>
      <c r="L2" s="283"/>
      <c r="M2" s="283"/>
      <c r="N2" s="283"/>
      <c r="O2" s="283"/>
      <c r="P2" s="391"/>
      <c r="Q2" s="391"/>
      <c r="R2" s="283"/>
      <c r="S2" s="283"/>
      <c r="T2" s="283"/>
      <c r="U2" s="283"/>
      <c r="V2" s="283"/>
      <c r="W2" s="283"/>
      <c r="X2" s="283"/>
      <c r="Y2" s="283"/>
      <c r="Z2" s="283"/>
      <c r="AA2" s="283"/>
    </row>
    <row r="3" spans="1:33" ht="18.75" x14ac:dyDescent="0.25">
      <c r="A3" s="315" t="s">
        <v>1391</v>
      </c>
      <c r="H3" s="283"/>
      <c r="J3" s="283"/>
      <c r="K3" s="283"/>
      <c r="L3" s="283"/>
      <c r="M3" s="283"/>
      <c r="N3" s="283"/>
      <c r="O3" s="283"/>
      <c r="P3" s="391"/>
      <c r="Q3" s="391"/>
      <c r="R3" s="283"/>
      <c r="S3" s="283"/>
      <c r="T3" s="283"/>
      <c r="U3" s="283"/>
      <c r="V3" s="283"/>
      <c r="W3" s="283"/>
      <c r="X3" s="283"/>
      <c r="Y3" s="283"/>
      <c r="Z3" s="283"/>
      <c r="AA3" s="283"/>
    </row>
    <row r="4" spans="1:33" ht="18.75" x14ac:dyDescent="0.25">
      <c r="A4" s="315" t="s">
        <v>1390</v>
      </c>
      <c r="H4" s="283"/>
      <c r="J4" s="283"/>
      <c r="K4" s="283"/>
      <c r="L4" s="283"/>
      <c r="M4" s="283"/>
      <c r="N4" s="283"/>
      <c r="O4" s="283"/>
      <c r="P4" s="391"/>
      <c r="Q4" s="391"/>
      <c r="R4" s="283"/>
      <c r="S4" s="283"/>
      <c r="T4" s="283"/>
      <c r="U4" s="283"/>
      <c r="V4" s="283"/>
      <c r="W4" s="283"/>
      <c r="X4" s="283"/>
      <c r="Y4" s="283"/>
      <c r="Z4" s="283"/>
      <c r="AA4" s="283"/>
    </row>
    <row r="5" spans="1:33" x14ac:dyDescent="0.25">
      <c r="A5" s="287" t="s">
        <v>1393</v>
      </c>
      <c r="B5" s="268"/>
      <c r="C5" s="268"/>
      <c r="D5" s="268"/>
      <c r="E5" s="268"/>
      <c r="F5" s="268"/>
      <c r="G5" s="268"/>
      <c r="H5" s="268"/>
      <c r="I5" s="268"/>
      <c r="J5" s="268"/>
      <c r="K5" s="268"/>
      <c r="L5" s="268"/>
      <c r="M5" s="268"/>
      <c r="N5" s="268"/>
      <c r="O5" s="268"/>
      <c r="P5" s="392"/>
      <c r="Q5" s="392"/>
      <c r="R5" s="268"/>
      <c r="S5" s="268"/>
      <c r="T5" s="268"/>
      <c r="U5" s="268"/>
    </row>
    <row r="6" spans="1:33" ht="15" customHeight="1" x14ac:dyDescent="0.25">
      <c r="A6" s="720" t="s">
        <v>96</v>
      </c>
      <c r="B6" s="722" t="s">
        <v>110</v>
      </c>
      <c r="C6" s="732" t="s">
        <v>1530</v>
      </c>
      <c r="D6" s="732" t="s">
        <v>1531</v>
      </c>
      <c r="E6" s="732" t="s">
        <v>86</v>
      </c>
      <c r="F6" s="732" t="s">
        <v>391</v>
      </c>
      <c r="G6" s="732" t="s">
        <v>87</v>
      </c>
      <c r="H6" s="735" t="s">
        <v>99</v>
      </c>
      <c r="I6" s="737"/>
      <c r="J6" s="737"/>
      <c r="K6" s="737"/>
      <c r="L6" s="737"/>
      <c r="M6" s="737"/>
      <c r="N6" s="737"/>
      <c r="O6" s="736"/>
      <c r="P6" s="741" t="s">
        <v>100</v>
      </c>
      <c r="Q6" s="742"/>
      <c r="R6" s="722" t="s">
        <v>102</v>
      </c>
      <c r="S6" s="722" t="s">
        <v>109</v>
      </c>
      <c r="T6" s="722" t="s">
        <v>108</v>
      </c>
      <c r="U6" s="738" t="s">
        <v>88</v>
      </c>
    </row>
    <row r="7" spans="1:33" ht="15" customHeight="1" x14ac:dyDescent="0.25">
      <c r="A7" s="720"/>
      <c r="B7" s="720"/>
      <c r="C7" s="733"/>
      <c r="D7" s="733"/>
      <c r="E7" s="733"/>
      <c r="F7" s="733"/>
      <c r="G7" s="733"/>
      <c r="H7" s="735" t="s">
        <v>103</v>
      </c>
      <c r="I7" s="736"/>
      <c r="J7" s="735" t="s">
        <v>104</v>
      </c>
      <c r="K7" s="736"/>
      <c r="L7" s="735" t="s">
        <v>105</v>
      </c>
      <c r="M7" s="736"/>
      <c r="N7" s="735" t="s">
        <v>106</v>
      </c>
      <c r="O7" s="736"/>
      <c r="P7" s="743"/>
      <c r="Q7" s="744"/>
      <c r="R7" s="720"/>
      <c r="S7" s="720"/>
      <c r="T7" s="720"/>
      <c r="U7" s="739"/>
    </row>
    <row r="8" spans="1:33" ht="25.5" x14ac:dyDescent="0.25">
      <c r="A8" s="721"/>
      <c r="B8" s="721"/>
      <c r="C8" s="734"/>
      <c r="D8" s="734"/>
      <c r="E8" s="734"/>
      <c r="F8" s="734"/>
      <c r="G8" s="734"/>
      <c r="H8" s="440" t="s">
        <v>107</v>
      </c>
      <c r="I8" s="440" t="s">
        <v>12</v>
      </c>
      <c r="J8" s="440" t="s">
        <v>107</v>
      </c>
      <c r="K8" s="440" t="s">
        <v>12</v>
      </c>
      <c r="L8" s="440" t="s">
        <v>107</v>
      </c>
      <c r="M8" s="440" t="s">
        <v>12</v>
      </c>
      <c r="N8" s="440" t="s">
        <v>107</v>
      </c>
      <c r="O8" s="440" t="s">
        <v>12</v>
      </c>
      <c r="P8" s="440" t="s">
        <v>107</v>
      </c>
      <c r="Q8" s="440" t="s">
        <v>12</v>
      </c>
      <c r="R8" s="721"/>
      <c r="S8" s="721"/>
      <c r="T8" s="721"/>
      <c r="U8" s="740"/>
    </row>
    <row r="9" spans="1:33" s="365"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33" ht="155.25" customHeight="1" x14ac:dyDescent="0.25">
      <c r="A10" s="745" t="s">
        <v>1384</v>
      </c>
      <c r="B10" s="745" t="s">
        <v>1385</v>
      </c>
      <c r="C10" s="249" t="s">
        <v>1573</v>
      </c>
      <c r="D10" s="679" t="s">
        <v>2476</v>
      </c>
      <c r="E10" s="680" t="s">
        <v>2477</v>
      </c>
      <c r="F10" s="249" t="s">
        <v>2492</v>
      </c>
      <c r="G10" s="253" t="s">
        <v>2473</v>
      </c>
      <c r="H10" s="681">
        <v>0.33</v>
      </c>
      <c r="I10" s="269"/>
      <c r="J10" s="681">
        <v>0.33</v>
      </c>
      <c r="K10" s="269"/>
      <c r="L10" s="681">
        <v>0.34</v>
      </c>
      <c r="M10" s="269"/>
      <c r="N10" s="253"/>
      <c r="O10" s="269"/>
      <c r="P10" s="389">
        <f t="shared" ref="P10:P54" si="0">H10+J10+L10+N10</f>
        <v>1</v>
      </c>
      <c r="Q10" s="390">
        <f t="shared" ref="Q10:Q54" si="1">I10+K10+M10+O10</f>
        <v>0</v>
      </c>
      <c r="R10" s="539" t="s">
        <v>2481</v>
      </c>
      <c r="S10" s="539" t="s">
        <v>2478</v>
      </c>
      <c r="T10" s="539" t="s">
        <v>2479</v>
      </c>
      <c r="U10" s="527" t="s">
        <v>2480</v>
      </c>
    </row>
    <row r="11" spans="1:33" ht="145.5" customHeight="1" x14ac:dyDescent="0.25">
      <c r="A11" s="746"/>
      <c r="B11" s="746"/>
      <c r="C11" s="249" t="s">
        <v>1573</v>
      </c>
      <c r="D11" s="253" t="s">
        <v>2490</v>
      </c>
      <c r="E11" s="253" t="s">
        <v>2491</v>
      </c>
      <c r="F11" s="249" t="s">
        <v>2493</v>
      </c>
      <c r="G11" s="307" t="s">
        <v>2475</v>
      </c>
      <c r="H11" s="253"/>
      <c r="I11" s="269"/>
      <c r="J11" s="681">
        <v>1</v>
      </c>
      <c r="K11" s="269">
        <f>+'5. ACTIVIDADES ESPECIALES'!D548</f>
        <v>1000</v>
      </c>
      <c r="L11" s="253"/>
      <c r="M11" s="269"/>
      <c r="N11" s="253"/>
      <c r="O11" s="269"/>
      <c r="P11" s="389">
        <f t="shared" si="0"/>
        <v>1</v>
      </c>
      <c r="Q11" s="390">
        <f t="shared" si="1"/>
        <v>1000</v>
      </c>
      <c r="R11" s="539" t="s">
        <v>2486</v>
      </c>
      <c r="S11" s="539" t="s">
        <v>2487</v>
      </c>
      <c r="T11" s="682" t="s">
        <v>2488</v>
      </c>
      <c r="U11" s="528" t="s">
        <v>2489</v>
      </c>
    </row>
    <row r="12" spans="1:33" ht="141.75" x14ac:dyDescent="0.25">
      <c r="A12" s="746"/>
      <c r="B12" s="746"/>
      <c r="C12" s="249" t="s">
        <v>1587</v>
      </c>
      <c r="D12" s="253" t="s">
        <v>2482</v>
      </c>
      <c r="E12" s="253" t="s">
        <v>2483</v>
      </c>
      <c r="F12" s="249" t="s">
        <v>2504</v>
      </c>
      <c r="G12" s="687" t="s">
        <v>2474</v>
      </c>
      <c r="H12" s="681">
        <v>0.25</v>
      </c>
      <c r="I12" s="269">
        <f>+H12*'5. ACTIVIDADES ESPECIALES'!D561</f>
        <v>1000</v>
      </c>
      <c r="J12" s="681">
        <v>0.25</v>
      </c>
      <c r="K12" s="269">
        <f>+J12*'5. ACTIVIDADES ESPECIALES'!D561</f>
        <v>1000</v>
      </c>
      <c r="L12" s="681">
        <v>0.25</v>
      </c>
      <c r="M12" s="269">
        <f>+L12*'5. ACTIVIDADES ESPECIALES'!D561</f>
        <v>1000</v>
      </c>
      <c r="N12" s="681">
        <v>0.25</v>
      </c>
      <c r="O12" s="269">
        <f>+N12*'5. ACTIVIDADES ESPECIALES'!D561</f>
        <v>1000</v>
      </c>
      <c r="P12" s="389">
        <f t="shared" si="0"/>
        <v>1</v>
      </c>
      <c r="Q12" s="390">
        <f t="shared" si="1"/>
        <v>4000</v>
      </c>
      <c r="R12" s="249" t="s">
        <v>2484</v>
      </c>
      <c r="S12" s="249" t="s">
        <v>2485</v>
      </c>
      <c r="T12" s="539" t="s">
        <v>2479</v>
      </c>
      <c r="U12" s="527" t="s">
        <v>2480</v>
      </c>
    </row>
    <row r="13" spans="1:33" ht="63" x14ac:dyDescent="0.25">
      <c r="A13" s="746"/>
      <c r="B13" s="747"/>
      <c r="C13" s="759" t="s">
        <v>1579</v>
      </c>
      <c r="D13" s="249" t="s">
        <v>2512</v>
      </c>
      <c r="E13" s="253" t="s">
        <v>2510</v>
      </c>
      <c r="F13" s="686" t="s">
        <v>2499</v>
      </c>
      <c r="G13" s="307" t="s">
        <v>2506</v>
      </c>
      <c r="H13" s="253"/>
      <c r="I13" s="269"/>
      <c r="J13" s="253"/>
      <c r="K13" s="269"/>
      <c r="L13" s="681">
        <v>1</v>
      </c>
      <c r="M13" s="269">
        <f>+'5. ACTIVIDADES ESPECIALES'!D573</f>
        <v>8000</v>
      </c>
      <c r="N13" s="253"/>
      <c r="O13" s="269"/>
      <c r="P13" s="389">
        <f t="shared" si="0"/>
        <v>1</v>
      </c>
      <c r="Q13" s="390">
        <f t="shared" si="1"/>
        <v>8000</v>
      </c>
      <c r="R13" s="249" t="s">
        <v>2500</v>
      </c>
      <c r="S13" s="249" t="s">
        <v>2501</v>
      </c>
      <c r="T13" s="539" t="s">
        <v>2502</v>
      </c>
      <c r="U13" s="527" t="s">
        <v>2480</v>
      </c>
    </row>
    <row r="14" spans="1:33" ht="75" x14ac:dyDescent="0.25">
      <c r="A14" s="746"/>
      <c r="B14" s="745" t="s">
        <v>1387</v>
      </c>
      <c r="C14" s="760"/>
      <c r="D14" s="249" t="s">
        <v>2512</v>
      </c>
      <c r="E14" s="249" t="s">
        <v>2511</v>
      </c>
      <c r="F14" s="686" t="s">
        <v>2509</v>
      </c>
      <c r="G14" s="663" t="s">
        <v>2507</v>
      </c>
      <c r="H14" s="253"/>
      <c r="I14" s="269"/>
      <c r="J14" s="253"/>
      <c r="K14" s="269"/>
      <c r="L14" s="681">
        <v>1</v>
      </c>
      <c r="M14" s="269"/>
      <c r="N14" s="253"/>
      <c r="O14" s="269"/>
      <c r="P14" s="389">
        <f t="shared" si="0"/>
        <v>1</v>
      </c>
      <c r="Q14" s="390">
        <f t="shared" si="1"/>
        <v>0</v>
      </c>
      <c r="R14" s="249" t="s">
        <v>2500</v>
      </c>
      <c r="S14" s="249" t="s">
        <v>2513</v>
      </c>
      <c r="T14" s="539" t="s">
        <v>2502</v>
      </c>
      <c r="U14" s="527" t="s">
        <v>2480</v>
      </c>
    </row>
    <row r="15" spans="1:33" ht="63" x14ac:dyDescent="0.25">
      <c r="A15" s="746"/>
      <c r="B15" s="746"/>
      <c r="C15" s="760"/>
      <c r="D15" s="249" t="s">
        <v>2512</v>
      </c>
      <c r="E15" s="249" t="s">
        <v>2188</v>
      </c>
      <c r="F15" s="686" t="s">
        <v>2515</v>
      </c>
      <c r="G15" s="663" t="s">
        <v>2514</v>
      </c>
      <c r="H15" s="253"/>
      <c r="I15" s="269"/>
      <c r="J15" s="253"/>
      <c r="K15" s="269"/>
      <c r="L15" s="681">
        <v>1</v>
      </c>
      <c r="M15" s="269">
        <f>+'5. ACTIVIDADES ESPECIALES'!D585</f>
        <v>22000</v>
      </c>
      <c r="N15" s="253"/>
      <c r="O15" s="269"/>
      <c r="P15" s="389">
        <f t="shared" si="0"/>
        <v>1</v>
      </c>
      <c r="Q15" s="390">
        <f t="shared" si="1"/>
        <v>22000</v>
      </c>
      <c r="R15" s="249" t="s">
        <v>2500</v>
      </c>
      <c r="S15" s="253" t="s">
        <v>1804</v>
      </c>
      <c r="T15" s="539" t="s">
        <v>2502</v>
      </c>
      <c r="U15" s="527" t="s">
        <v>2480</v>
      </c>
    </row>
    <row r="16" spans="1:33" s="464" customFormat="1" ht="78.75" x14ac:dyDescent="0.25">
      <c r="A16" s="746"/>
      <c r="B16" s="746"/>
      <c r="C16" s="760"/>
      <c r="D16" s="249" t="s">
        <v>2512</v>
      </c>
      <c r="E16" s="249" t="s">
        <v>2542</v>
      </c>
      <c r="F16" s="686" t="s">
        <v>2543</v>
      </c>
      <c r="G16" s="693" t="s">
        <v>2519</v>
      </c>
      <c r="H16" s="253">
        <v>1</v>
      </c>
      <c r="I16" s="269"/>
      <c r="J16" s="253"/>
      <c r="K16" s="269"/>
      <c r="L16" s="681"/>
      <c r="M16" s="269"/>
      <c r="N16" s="253"/>
      <c r="O16" s="269"/>
      <c r="P16" s="389">
        <f t="shared" ref="P16:P26" si="2">H16+J16+L16+N16</f>
        <v>1</v>
      </c>
      <c r="Q16" s="390">
        <f t="shared" ref="Q16:Q26" si="3">I16+K16+M16+O16</f>
        <v>0</v>
      </c>
      <c r="R16" s="249" t="s">
        <v>2540</v>
      </c>
      <c r="S16" s="253" t="s">
        <v>2541</v>
      </c>
      <c r="T16" s="539" t="s">
        <v>2502</v>
      </c>
      <c r="U16" s="527" t="s">
        <v>2480</v>
      </c>
    </row>
    <row r="17" spans="1:21" s="464" customFormat="1" ht="78.75" x14ac:dyDescent="0.25">
      <c r="A17" s="746"/>
      <c r="B17" s="746"/>
      <c r="C17" s="760"/>
      <c r="D17" s="249" t="s">
        <v>2512</v>
      </c>
      <c r="E17" s="253" t="s">
        <v>2483</v>
      </c>
      <c r="F17" s="686" t="s">
        <v>2544</v>
      </c>
      <c r="G17" s="307" t="s">
        <v>2520</v>
      </c>
      <c r="H17" s="253"/>
      <c r="I17" s="269"/>
      <c r="J17" s="681">
        <v>0.5</v>
      </c>
      <c r="K17" s="269"/>
      <c r="L17" s="681">
        <v>0.5</v>
      </c>
      <c r="M17" s="269"/>
      <c r="N17" s="253"/>
      <c r="O17" s="269"/>
      <c r="P17" s="389">
        <f t="shared" si="2"/>
        <v>1</v>
      </c>
      <c r="Q17" s="390">
        <f t="shared" si="3"/>
        <v>0</v>
      </c>
      <c r="R17" s="249" t="s">
        <v>2540</v>
      </c>
      <c r="S17" s="253" t="s">
        <v>2485</v>
      </c>
      <c r="T17" s="539" t="s">
        <v>2502</v>
      </c>
      <c r="U17" s="527" t="s">
        <v>2480</v>
      </c>
    </row>
    <row r="18" spans="1:21" s="464" customFormat="1" ht="78.75" x14ac:dyDescent="0.25">
      <c r="A18" s="746"/>
      <c r="B18" s="746"/>
      <c r="C18" s="761"/>
      <c r="D18" s="249" t="s">
        <v>2512</v>
      </c>
      <c r="E18" s="249" t="s">
        <v>2545</v>
      </c>
      <c r="F18" s="686" t="s">
        <v>2550</v>
      </c>
      <c r="G18" s="694" t="s">
        <v>2521</v>
      </c>
      <c r="H18" s="253"/>
      <c r="I18" s="269"/>
      <c r="J18" s="253">
        <v>1</v>
      </c>
      <c r="K18" s="269">
        <f>+'5. ACTIVIDADES ESPECIALES'!D650/3</f>
        <v>6000</v>
      </c>
      <c r="L18" s="253">
        <v>1</v>
      </c>
      <c r="M18" s="269">
        <f>+'5. ACTIVIDADES ESPECIALES'!D650/3</f>
        <v>6000</v>
      </c>
      <c r="N18" s="253">
        <v>1</v>
      </c>
      <c r="O18" s="269">
        <f>+'5. ACTIVIDADES ESPECIALES'!D650/3</f>
        <v>6000</v>
      </c>
      <c r="P18" s="389">
        <f t="shared" si="2"/>
        <v>3</v>
      </c>
      <c r="Q18" s="390">
        <f t="shared" si="3"/>
        <v>18000</v>
      </c>
      <c r="R18" s="249" t="s">
        <v>2540</v>
      </c>
      <c r="S18" s="253" t="s">
        <v>2541</v>
      </c>
      <c r="T18" s="539" t="s">
        <v>2502</v>
      </c>
      <c r="U18" s="527" t="s">
        <v>2480</v>
      </c>
    </row>
    <row r="19" spans="1:21" s="464" customFormat="1" ht="204.75" x14ac:dyDescent="0.25">
      <c r="A19" s="746"/>
      <c r="B19" s="746"/>
      <c r="C19" s="249" t="s">
        <v>1582</v>
      </c>
      <c r="D19" s="249" t="s">
        <v>2512</v>
      </c>
      <c r="E19" s="249" t="s">
        <v>2576</v>
      </c>
      <c r="F19" s="686" t="s">
        <v>2552</v>
      </c>
      <c r="G19" s="307" t="s">
        <v>2522</v>
      </c>
      <c r="H19" s="253"/>
      <c r="I19" s="269"/>
      <c r="J19" s="681">
        <v>1</v>
      </c>
      <c r="K19" s="269"/>
      <c r="L19" s="681"/>
      <c r="M19" s="269"/>
      <c r="N19" s="253"/>
      <c r="O19" s="269"/>
      <c r="P19" s="389">
        <f t="shared" si="2"/>
        <v>1</v>
      </c>
      <c r="Q19" s="390">
        <f t="shared" si="3"/>
        <v>0</v>
      </c>
      <c r="R19" s="249" t="s">
        <v>2540</v>
      </c>
      <c r="S19" s="253" t="s">
        <v>2577</v>
      </c>
      <c r="T19" s="539" t="s">
        <v>2502</v>
      </c>
      <c r="U19" s="527" t="s">
        <v>2480</v>
      </c>
    </row>
    <row r="20" spans="1:21" s="464" customFormat="1" ht="78.75" x14ac:dyDescent="0.25">
      <c r="A20" s="746"/>
      <c r="B20" s="746"/>
      <c r="C20" s="759" t="s">
        <v>1579</v>
      </c>
      <c r="D20" s="249" t="s">
        <v>2512</v>
      </c>
      <c r="E20" s="249" t="s">
        <v>2551</v>
      </c>
      <c r="F20" s="686" t="s">
        <v>2553</v>
      </c>
      <c r="G20" s="307" t="s">
        <v>2546</v>
      </c>
      <c r="H20" s="681">
        <v>0.25</v>
      </c>
      <c r="I20" s="269"/>
      <c r="J20" s="681">
        <v>0.25</v>
      </c>
      <c r="K20" s="269"/>
      <c r="L20" s="681">
        <v>0.25</v>
      </c>
      <c r="M20" s="269"/>
      <c r="N20" s="681">
        <v>0.25</v>
      </c>
      <c r="O20" s="269"/>
      <c r="P20" s="389">
        <f t="shared" si="2"/>
        <v>1</v>
      </c>
      <c r="Q20" s="390">
        <f t="shared" si="3"/>
        <v>0</v>
      </c>
      <c r="R20" s="249" t="s">
        <v>2540</v>
      </c>
      <c r="S20" s="253" t="s">
        <v>2578</v>
      </c>
      <c r="T20" s="539" t="s">
        <v>2502</v>
      </c>
      <c r="U20" s="527" t="s">
        <v>2480</v>
      </c>
    </row>
    <row r="21" spans="1:21" s="464" customFormat="1" ht="84.75" customHeight="1" x14ac:dyDescent="0.25">
      <c r="A21" s="746"/>
      <c r="B21" s="746"/>
      <c r="C21" s="760"/>
      <c r="D21" s="249" t="s">
        <v>2512</v>
      </c>
      <c r="E21" s="249" t="s">
        <v>2547</v>
      </c>
      <c r="F21" s="686" t="s">
        <v>2554</v>
      </c>
      <c r="G21" s="688" t="s">
        <v>2523</v>
      </c>
      <c r="H21" s="253"/>
      <c r="I21" s="269"/>
      <c r="J21" s="681">
        <v>1</v>
      </c>
      <c r="K21" s="269"/>
      <c r="L21" s="681"/>
      <c r="M21" s="269"/>
      <c r="N21" s="253"/>
      <c r="O21" s="269"/>
      <c r="P21" s="389">
        <f t="shared" si="2"/>
        <v>1</v>
      </c>
      <c r="Q21" s="390">
        <f t="shared" si="3"/>
        <v>0</v>
      </c>
      <c r="R21" s="249" t="s">
        <v>2540</v>
      </c>
      <c r="S21" s="253" t="s">
        <v>1804</v>
      </c>
      <c r="T21" s="539" t="s">
        <v>2502</v>
      </c>
      <c r="U21" s="527" t="s">
        <v>2480</v>
      </c>
    </row>
    <row r="22" spans="1:21" s="464" customFormat="1" ht="78.75" x14ac:dyDescent="0.25">
      <c r="A22" s="746"/>
      <c r="B22" s="746"/>
      <c r="C22" s="760"/>
      <c r="D22" s="249" t="s">
        <v>2512</v>
      </c>
      <c r="E22" s="249" t="s">
        <v>2548</v>
      </c>
      <c r="F22" s="686" t="s">
        <v>2555</v>
      </c>
      <c r="G22" s="694" t="s">
        <v>2524</v>
      </c>
      <c r="H22" s="253"/>
      <c r="I22" s="269"/>
      <c r="J22" s="253"/>
      <c r="K22" s="269"/>
      <c r="L22" s="681">
        <v>1</v>
      </c>
      <c r="M22" s="269">
        <f>+'5. ACTIVIDADES ESPECIALES'!D663</f>
        <v>9200</v>
      </c>
      <c r="N22" s="253"/>
      <c r="O22" s="269"/>
      <c r="P22" s="389">
        <f t="shared" si="2"/>
        <v>1</v>
      </c>
      <c r="Q22" s="390">
        <f t="shared" si="3"/>
        <v>9200</v>
      </c>
      <c r="R22" s="249" t="s">
        <v>2540</v>
      </c>
      <c r="S22" s="253" t="s">
        <v>2591</v>
      </c>
      <c r="T22" s="539" t="s">
        <v>2502</v>
      </c>
      <c r="U22" s="527" t="s">
        <v>2480</v>
      </c>
    </row>
    <row r="23" spans="1:21" s="464" customFormat="1" ht="92.25" customHeight="1" x14ac:dyDescent="0.25">
      <c r="A23" s="746"/>
      <c r="B23" s="746"/>
      <c r="C23" s="760"/>
      <c r="D23" s="249" t="s">
        <v>2512</v>
      </c>
      <c r="E23" s="249" t="s">
        <v>2542</v>
      </c>
      <c r="F23" s="686" t="s">
        <v>2556</v>
      </c>
      <c r="G23" s="688" t="s">
        <v>2525</v>
      </c>
      <c r="H23" s="253"/>
      <c r="I23" s="269"/>
      <c r="J23" s="253"/>
      <c r="K23" s="269"/>
      <c r="L23" s="681">
        <v>1</v>
      </c>
      <c r="M23" s="269"/>
      <c r="N23" s="253"/>
      <c r="O23" s="269"/>
      <c r="P23" s="389">
        <f t="shared" si="2"/>
        <v>1</v>
      </c>
      <c r="Q23" s="390">
        <f t="shared" si="3"/>
        <v>0</v>
      </c>
      <c r="R23" s="249" t="s">
        <v>2540</v>
      </c>
      <c r="S23" s="253" t="s">
        <v>2592</v>
      </c>
      <c r="T23" s="539" t="s">
        <v>2502</v>
      </c>
      <c r="U23" s="527" t="s">
        <v>2480</v>
      </c>
    </row>
    <row r="24" spans="1:21" s="464" customFormat="1" ht="78.75" x14ac:dyDescent="0.25">
      <c r="A24" s="746"/>
      <c r="B24" s="746"/>
      <c r="C24" s="760"/>
      <c r="D24" s="249" t="s">
        <v>2512</v>
      </c>
      <c r="E24" s="249" t="s">
        <v>2549</v>
      </c>
      <c r="F24" s="686" t="s">
        <v>2557</v>
      </c>
      <c r="G24" s="692" t="s">
        <v>2526</v>
      </c>
      <c r="H24" s="253"/>
      <c r="I24" s="269"/>
      <c r="J24" s="253"/>
      <c r="K24" s="269"/>
      <c r="L24" s="681">
        <v>1</v>
      </c>
      <c r="M24" s="269"/>
      <c r="N24" s="253"/>
      <c r="O24" s="269"/>
      <c r="P24" s="389">
        <f t="shared" si="2"/>
        <v>1</v>
      </c>
      <c r="Q24" s="390">
        <f t="shared" si="3"/>
        <v>0</v>
      </c>
      <c r="R24" s="249" t="s">
        <v>2540</v>
      </c>
      <c r="S24" s="253" t="s">
        <v>2592</v>
      </c>
      <c r="T24" s="539" t="s">
        <v>2502</v>
      </c>
      <c r="U24" s="527" t="s">
        <v>2480</v>
      </c>
    </row>
    <row r="25" spans="1:21" s="464" customFormat="1" ht="78.75" x14ac:dyDescent="0.25">
      <c r="A25" s="746"/>
      <c r="B25" s="746"/>
      <c r="C25" s="760"/>
      <c r="D25" s="249" t="s">
        <v>2512</v>
      </c>
      <c r="E25" s="249" t="s">
        <v>2549</v>
      </c>
      <c r="F25" s="686" t="s">
        <v>2558</v>
      </c>
      <c r="G25" s="692" t="s">
        <v>2527</v>
      </c>
      <c r="H25" s="253"/>
      <c r="I25" s="269"/>
      <c r="J25" s="253"/>
      <c r="K25" s="269"/>
      <c r="L25" s="681">
        <v>1</v>
      </c>
      <c r="M25" s="269"/>
      <c r="N25" s="253"/>
      <c r="O25" s="269"/>
      <c r="P25" s="389">
        <f t="shared" si="2"/>
        <v>1</v>
      </c>
      <c r="Q25" s="390">
        <f t="shared" si="3"/>
        <v>0</v>
      </c>
      <c r="R25" s="249" t="s">
        <v>2540</v>
      </c>
      <c r="S25" s="253" t="s">
        <v>2592</v>
      </c>
      <c r="T25" s="539" t="s">
        <v>2502</v>
      </c>
      <c r="U25" s="527" t="s">
        <v>2480</v>
      </c>
    </row>
    <row r="26" spans="1:21" s="464" customFormat="1" ht="78.75" x14ac:dyDescent="0.25">
      <c r="A26" s="746"/>
      <c r="B26" s="746"/>
      <c r="C26" s="761"/>
      <c r="D26" s="249" t="s">
        <v>2512</v>
      </c>
      <c r="E26" s="249" t="s">
        <v>2188</v>
      </c>
      <c r="F26" s="686" t="s">
        <v>2559</v>
      </c>
      <c r="G26" s="692" t="s">
        <v>2528</v>
      </c>
      <c r="H26" s="253"/>
      <c r="I26" s="269"/>
      <c r="J26" s="253"/>
      <c r="K26" s="269"/>
      <c r="L26" s="681"/>
      <c r="M26" s="269"/>
      <c r="N26" s="681">
        <v>1</v>
      </c>
      <c r="O26" s="269"/>
      <c r="P26" s="389">
        <f t="shared" si="2"/>
        <v>1</v>
      </c>
      <c r="Q26" s="390">
        <f t="shared" si="3"/>
        <v>0</v>
      </c>
      <c r="R26" s="249" t="s">
        <v>2540</v>
      </c>
      <c r="S26" s="253" t="s">
        <v>2592</v>
      </c>
      <c r="T26" s="539" t="s">
        <v>2502</v>
      </c>
      <c r="U26" s="527" t="s">
        <v>2480</v>
      </c>
    </row>
    <row r="27" spans="1:21" s="464" customFormat="1" ht="189" customHeight="1" x14ac:dyDescent="0.25">
      <c r="A27" s="746"/>
      <c r="B27" s="746"/>
      <c r="C27" s="759" t="s">
        <v>1577</v>
      </c>
      <c r="D27" s="249" t="s">
        <v>2512</v>
      </c>
      <c r="E27" s="249" t="s">
        <v>2579</v>
      </c>
      <c r="F27" s="686" t="s">
        <v>2560</v>
      </c>
      <c r="G27" s="690" t="s">
        <v>2529</v>
      </c>
      <c r="H27" s="681">
        <v>0.25</v>
      </c>
      <c r="I27" s="269"/>
      <c r="J27" s="681">
        <v>0.25</v>
      </c>
      <c r="K27" s="269"/>
      <c r="L27" s="681">
        <v>0.25</v>
      </c>
      <c r="M27" s="269"/>
      <c r="N27" s="681">
        <v>0.25</v>
      </c>
      <c r="O27" s="269"/>
      <c r="P27" s="389">
        <f t="shared" ref="P27:P37" si="4">H27+J27+L27+N27</f>
        <v>1</v>
      </c>
      <c r="Q27" s="390">
        <f t="shared" ref="Q27:Q37" si="5">I27+K27+M27+O27</f>
        <v>0</v>
      </c>
      <c r="R27" s="249" t="s">
        <v>2593</v>
      </c>
      <c r="S27" s="253" t="s">
        <v>2050</v>
      </c>
      <c r="T27" s="691" t="s">
        <v>2310</v>
      </c>
      <c r="U27" s="527" t="s">
        <v>2480</v>
      </c>
    </row>
    <row r="28" spans="1:21" s="464" customFormat="1" ht="110.25" x14ac:dyDescent="0.25">
      <c r="A28" s="746"/>
      <c r="B28" s="746"/>
      <c r="C28" s="760"/>
      <c r="D28" s="249" t="s">
        <v>2512</v>
      </c>
      <c r="E28" s="249" t="s">
        <v>2580</v>
      </c>
      <c r="F28" s="686" t="s">
        <v>2561</v>
      </c>
      <c r="G28" s="690" t="s">
        <v>2530</v>
      </c>
      <c r="H28" s="253"/>
      <c r="I28" s="269"/>
      <c r="J28" s="681">
        <v>0.5</v>
      </c>
      <c r="K28" s="269"/>
      <c r="L28" s="681"/>
      <c r="M28" s="269"/>
      <c r="N28" s="681">
        <v>0.5</v>
      </c>
      <c r="O28" s="269"/>
      <c r="P28" s="389">
        <f t="shared" si="4"/>
        <v>1</v>
      </c>
      <c r="Q28" s="390">
        <f t="shared" si="5"/>
        <v>0</v>
      </c>
      <c r="R28" s="249" t="s">
        <v>2593</v>
      </c>
      <c r="S28" s="253" t="s">
        <v>2597</v>
      </c>
      <c r="T28" s="691" t="s">
        <v>2310</v>
      </c>
      <c r="U28" s="527" t="s">
        <v>2480</v>
      </c>
    </row>
    <row r="29" spans="1:21" s="464" customFormat="1" ht="110.25" x14ac:dyDescent="0.25">
      <c r="A29" s="746"/>
      <c r="B29" s="746"/>
      <c r="C29" s="760"/>
      <c r="D29" s="249" t="s">
        <v>2512</v>
      </c>
      <c r="E29" s="249" t="s">
        <v>2581</v>
      </c>
      <c r="F29" s="686" t="s">
        <v>2562</v>
      </c>
      <c r="G29" s="690" t="s">
        <v>2531</v>
      </c>
      <c r="H29" s="253"/>
      <c r="I29" s="269"/>
      <c r="J29" s="681">
        <v>0.5</v>
      </c>
      <c r="K29" s="269"/>
      <c r="L29" s="681"/>
      <c r="M29" s="269"/>
      <c r="N29" s="681">
        <v>0.5</v>
      </c>
      <c r="O29" s="269"/>
      <c r="P29" s="389">
        <f t="shared" si="4"/>
        <v>1</v>
      </c>
      <c r="Q29" s="390">
        <f t="shared" si="5"/>
        <v>0</v>
      </c>
      <c r="R29" s="249" t="s">
        <v>2593</v>
      </c>
      <c r="S29" s="253" t="s">
        <v>2594</v>
      </c>
      <c r="T29" s="691" t="s">
        <v>2310</v>
      </c>
      <c r="U29" s="527" t="s">
        <v>2480</v>
      </c>
    </row>
    <row r="30" spans="1:21" s="464" customFormat="1" ht="110.25" x14ac:dyDescent="0.25">
      <c r="A30" s="746"/>
      <c r="B30" s="746"/>
      <c r="C30" s="760"/>
      <c r="D30" s="249" t="s">
        <v>2512</v>
      </c>
      <c r="E30" s="249" t="s">
        <v>2588</v>
      </c>
      <c r="F30" s="686" t="s">
        <v>2563</v>
      </c>
      <c r="G30" s="690" t="s">
        <v>2532</v>
      </c>
      <c r="H30" s="681"/>
      <c r="I30" s="269"/>
      <c r="J30" s="681">
        <v>0.5</v>
      </c>
      <c r="K30" s="269"/>
      <c r="L30" s="681">
        <v>0.5</v>
      </c>
      <c r="M30" s="269"/>
      <c r="N30" s="681"/>
      <c r="O30" s="269"/>
      <c r="P30" s="389">
        <f t="shared" si="4"/>
        <v>1</v>
      </c>
      <c r="Q30" s="390">
        <f t="shared" si="5"/>
        <v>0</v>
      </c>
      <c r="R30" s="249" t="s">
        <v>2593</v>
      </c>
      <c r="S30" s="253" t="s">
        <v>2050</v>
      </c>
      <c r="T30" s="691" t="s">
        <v>2310</v>
      </c>
      <c r="U30" s="527" t="s">
        <v>2480</v>
      </c>
    </row>
    <row r="31" spans="1:21" s="464" customFormat="1" ht="110.25" x14ac:dyDescent="0.25">
      <c r="A31" s="746"/>
      <c r="B31" s="746"/>
      <c r="C31" s="760"/>
      <c r="D31" s="249" t="s">
        <v>2512</v>
      </c>
      <c r="E31" s="249" t="s">
        <v>2589</v>
      </c>
      <c r="F31" s="686" t="s">
        <v>2564</v>
      </c>
      <c r="G31" s="690" t="s">
        <v>2533</v>
      </c>
      <c r="H31" s="681">
        <v>0.25</v>
      </c>
      <c r="I31" s="269"/>
      <c r="J31" s="681">
        <v>0.25</v>
      </c>
      <c r="K31" s="269"/>
      <c r="L31" s="681">
        <v>0.25</v>
      </c>
      <c r="M31" s="269"/>
      <c r="N31" s="681">
        <v>0.25</v>
      </c>
      <c r="O31" s="269"/>
      <c r="P31" s="389">
        <f t="shared" si="4"/>
        <v>1</v>
      </c>
      <c r="Q31" s="390">
        <f t="shared" si="5"/>
        <v>0</v>
      </c>
      <c r="R31" s="249" t="s">
        <v>2593</v>
      </c>
      <c r="S31" s="253" t="s">
        <v>2594</v>
      </c>
      <c r="T31" s="691" t="s">
        <v>2310</v>
      </c>
      <c r="U31" s="527" t="s">
        <v>2480</v>
      </c>
    </row>
    <row r="32" spans="1:21" s="464" customFormat="1" ht="110.25" x14ac:dyDescent="0.25">
      <c r="A32" s="746"/>
      <c r="B32" s="746"/>
      <c r="C32" s="760"/>
      <c r="D32" s="249" t="s">
        <v>2512</v>
      </c>
      <c r="E32" s="249" t="s">
        <v>2590</v>
      </c>
      <c r="F32" s="686" t="s">
        <v>2582</v>
      </c>
      <c r="G32" s="690" t="s">
        <v>2534</v>
      </c>
      <c r="H32" s="253"/>
      <c r="I32" s="269"/>
      <c r="J32" s="253"/>
      <c r="K32" s="269"/>
      <c r="L32" s="681">
        <v>1</v>
      </c>
      <c r="M32" s="269"/>
      <c r="N32" s="253"/>
      <c r="O32" s="269"/>
      <c r="P32" s="389">
        <f t="shared" si="4"/>
        <v>1</v>
      </c>
      <c r="Q32" s="390">
        <f t="shared" si="5"/>
        <v>0</v>
      </c>
      <c r="R32" s="249" t="s">
        <v>2593</v>
      </c>
      <c r="S32" s="253" t="s">
        <v>2050</v>
      </c>
      <c r="T32" s="691" t="s">
        <v>2310</v>
      </c>
      <c r="U32" s="527" t="s">
        <v>2480</v>
      </c>
    </row>
    <row r="33" spans="1:21" s="464" customFormat="1" ht="110.25" x14ac:dyDescent="0.25">
      <c r="A33" s="746"/>
      <c r="B33" s="746"/>
      <c r="C33" s="760"/>
      <c r="D33" s="249" t="s">
        <v>2512</v>
      </c>
      <c r="E33" s="249" t="s">
        <v>2598</v>
      </c>
      <c r="F33" s="686" t="s">
        <v>2583</v>
      </c>
      <c r="G33" s="690" t="s">
        <v>2535</v>
      </c>
      <c r="H33" s="681">
        <v>0.25</v>
      </c>
      <c r="I33" s="269"/>
      <c r="J33" s="681">
        <v>0.25</v>
      </c>
      <c r="K33" s="269"/>
      <c r="L33" s="681">
        <v>0.25</v>
      </c>
      <c r="M33" s="269"/>
      <c r="N33" s="681">
        <v>0.25</v>
      </c>
      <c r="O33" s="269"/>
      <c r="P33" s="389">
        <f t="shared" si="4"/>
        <v>1</v>
      </c>
      <c r="Q33" s="390">
        <f t="shared" si="5"/>
        <v>0</v>
      </c>
      <c r="R33" s="249" t="s">
        <v>2593</v>
      </c>
      <c r="S33" s="253" t="s">
        <v>2597</v>
      </c>
      <c r="T33" s="691" t="s">
        <v>2310</v>
      </c>
      <c r="U33" s="527" t="s">
        <v>2480</v>
      </c>
    </row>
    <row r="34" spans="1:21" s="464" customFormat="1" ht="110.25" x14ac:dyDescent="0.25">
      <c r="A34" s="746"/>
      <c r="B34" s="746"/>
      <c r="C34" s="760"/>
      <c r="D34" s="249" t="s">
        <v>2512</v>
      </c>
      <c r="E34" s="249" t="s">
        <v>2581</v>
      </c>
      <c r="F34" s="686" t="s">
        <v>2584</v>
      </c>
      <c r="G34" s="690" t="s">
        <v>2536</v>
      </c>
      <c r="H34" s="253"/>
      <c r="I34" s="269"/>
      <c r="J34" s="681">
        <v>1</v>
      </c>
      <c r="K34" s="269"/>
      <c r="L34" s="681"/>
      <c r="M34" s="269"/>
      <c r="N34" s="253"/>
      <c r="O34" s="269"/>
      <c r="P34" s="389">
        <f t="shared" si="4"/>
        <v>1</v>
      </c>
      <c r="Q34" s="390">
        <f t="shared" si="5"/>
        <v>0</v>
      </c>
      <c r="R34" s="249" t="s">
        <v>2593</v>
      </c>
      <c r="S34" s="253" t="s">
        <v>2599</v>
      </c>
      <c r="T34" s="691" t="s">
        <v>2310</v>
      </c>
      <c r="U34" s="527" t="s">
        <v>2480</v>
      </c>
    </row>
    <row r="35" spans="1:21" s="464" customFormat="1" ht="110.25" x14ac:dyDescent="0.25">
      <c r="A35" s="746"/>
      <c r="B35" s="746"/>
      <c r="C35" s="760"/>
      <c r="D35" s="249" t="s">
        <v>2512</v>
      </c>
      <c r="E35" s="249" t="s">
        <v>2596</v>
      </c>
      <c r="F35" s="686" t="s">
        <v>2585</v>
      </c>
      <c r="G35" s="690" t="s">
        <v>2537</v>
      </c>
      <c r="H35" s="253"/>
      <c r="I35" s="269"/>
      <c r="J35" s="681">
        <v>0.5</v>
      </c>
      <c r="K35" s="269"/>
      <c r="L35" s="681"/>
      <c r="M35" s="269"/>
      <c r="N35" s="681">
        <v>0.5</v>
      </c>
      <c r="O35" s="269"/>
      <c r="P35" s="389">
        <f t="shared" si="4"/>
        <v>1</v>
      </c>
      <c r="Q35" s="390">
        <f t="shared" si="5"/>
        <v>0</v>
      </c>
      <c r="R35" s="249" t="s">
        <v>2593</v>
      </c>
      <c r="S35" s="253" t="s">
        <v>2597</v>
      </c>
      <c r="T35" s="691" t="s">
        <v>2310</v>
      </c>
      <c r="U35" s="527" t="s">
        <v>2480</v>
      </c>
    </row>
    <row r="36" spans="1:21" s="464" customFormat="1" ht="110.25" x14ac:dyDescent="0.25">
      <c r="A36" s="746"/>
      <c r="B36" s="746"/>
      <c r="C36" s="760"/>
      <c r="D36" s="249" t="s">
        <v>2512</v>
      </c>
      <c r="E36" s="249" t="s">
        <v>2588</v>
      </c>
      <c r="F36" s="686" t="s">
        <v>2586</v>
      </c>
      <c r="G36" s="690" t="s">
        <v>2538</v>
      </c>
      <c r="H36" s="253"/>
      <c r="I36" s="269"/>
      <c r="J36" s="253"/>
      <c r="K36" s="269"/>
      <c r="L36" s="681">
        <v>1</v>
      </c>
      <c r="M36" s="269"/>
      <c r="N36" s="253"/>
      <c r="O36" s="269"/>
      <c r="P36" s="389">
        <f t="shared" si="4"/>
        <v>1</v>
      </c>
      <c r="Q36" s="390">
        <f t="shared" si="5"/>
        <v>0</v>
      </c>
      <c r="R36" s="249" t="s">
        <v>2593</v>
      </c>
      <c r="S36" s="253" t="s">
        <v>2595</v>
      </c>
      <c r="T36" s="691" t="s">
        <v>2310</v>
      </c>
      <c r="U36" s="527" t="s">
        <v>2480</v>
      </c>
    </row>
    <row r="37" spans="1:21" s="464" customFormat="1" ht="110.25" x14ac:dyDescent="0.25">
      <c r="A37" s="746"/>
      <c r="B37" s="746"/>
      <c r="C37" s="761"/>
      <c r="D37" s="249" t="s">
        <v>2512</v>
      </c>
      <c r="E37" s="249" t="s">
        <v>2588</v>
      </c>
      <c r="F37" s="686" t="s">
        <v>2587</v>
      </c>
      <c r="G37" s="690" t="s">
        <v>2539</v>
      </c>
      <c r="H37" s="253"/>
      <c r="I37" s="269"/>
      <c r="J37" s="253"/>
      <c r="K37" s="269"/>
      <c r="L37" s="681">
        <v>1</v>
      </c>
      <c r="M37" s="269"/>
      <c r="N37" s="253"/>
      <c r="O37" s="269"/>
      <c r="P37" s="389">
        <f t="shared" si="4"/>
        <v>1</v>
      </c>
      <c r="Q37" s="390">
        <f t="shared" si="5"/>
        <v>0</v>
      </c>
      <c r="R37" s="249" t="s">
        <v>2593</v>
      </c>
      <c r="S37" s="253" t="s">
        <v>2595</v>
      </c>
      <c r="T37" s="691" t="s">
        <v>2310</v>
      </c>
      <c r="U37" s="527" t="s">
        <v>2480</v>
      </c>
    </row>
    <row r="38" spans="1:21" ht="157.5" x14ac:dyDescent="0.25">
      <c r="A38" s="746"/>
      <c r="B38" s="745" t="s">
        <v>1388</v>
      </c>
      <c r="C38" s="249" t="s">
        <v>1579</v>
      </c>
      <c r="D38" s="249" t="s">
        <v>2165</v>
      </c>
      <c r="E38" s="249" t="s">
        <v>2164</v>
      </c>
      <c r="F38" s="249" t="s">
        <v>2508</v>
      </c>
      <c r="G38" s="578" t="s">
        <v>2160</v>
      </c>
      <c r="H38" s="250"/>
      <c r="I38" s="352"/>
      <c r="J38" s="250">
        <v>0.5</v>
      </c>
      <c r="K38" s="352"/>
      <c r="L38" s="250">
        <v>0.5</v>
      </c>
      <c r="M38" s="230"/>
      <c r="N38" s="249"/>
      <c r="O38" s="230"/>
      <c r="P38" s="381">
        <f t="shared" si="0"/>
        <v>1</v>
      </c>
      <c r="Q38" s="393">
        <f t="shared" si="1"/>
        <v>0</v>
      </c>
      <c r="R38" s="249" t="s">
        <v>2166</v>
      </c>
      <c r="S38" s="249" t="s">
        <v>2163</v>
      </c>
      <c r="T38" s="249" t="s">
        <v>2161</v>
      </c>
      <c r="U38" s="249" t="s">
        <v>2162</v>
      </c>
    </row>
    <row r="39" spans="1:21" s="464" customFormat="1" ht="94.5" x14ac:dyDescent="0.25">
      <c r="A39" s="746"/>
      <c r="B39" s="746"/>
      <c r="C39" s="249" t="s">
        <v>1580</v>
      </c>
      <c r="D39" s="249" t="s">
        <v>2165</v>
      </c>
      <c r="E39" s="249" t="s">
        <v>2164</v>
      </c>
      <c r="F39" s="249" t="s">
        <v>2498</v>
      </c>
      <c r="G39" s="684" t="s">
        <v>2496</v>
      </c>
      <c r="H39" s="250"/>
      <c r="I39" s="352"/>
      <c r="J39" s="250">
        <v>1</v>
      </c>
      <c r="K39" s="352"/>
      <c r="L39" s="250"/>
      <c r="M39" s="230"/>
      <c r="N39" s="249"/>
      <c r="O39" s="230"/>
      <c r="P39" s="381">
        <f t="shared" ref="P39:P40" si="6">H39+J39+L39+N39</f>
        <v>1</v>
      </c>
      <c r="Q39" s="393">
        <f t="shared" ref="Q39:Q40" si="7">I39+K39+M39+O39</f>
        <v>0</v>
      </c>
      <c r="R39" s="249" t="s">
        <v>2500</v>
      </c>
      <c r="S39" s="249" t="s">
        <v>2503</v>
      </c>
      <c r="T39" s="539" t="s">
        <v>2502</v>
      </c>
      <c r="U39" s="527" t="s">
        <v>2480</v>
      </c>
    </row>
    <row r="40" spans="1:21" s="464" customFormat="1" ht="94.5" x14ac:dyDescent="0.25">
      <c r="A40" s="746"/>
      <c r="B40" s="746"/>
      <c r="C40" s="249" t="s">
        <v>1580</v>
      </c>
      <c r="D40" s="249" t="s">
        <v>2165</v>
      </c>
      <c r="E40" s="249" t="s">
        <v>2164</v>
      </c>
      <c r="F40" s="249" t="s">
        <v>2505</v>
      </c>
      <c r="G40" s="685" t="s">
        <v>2497</v>
      </c>
      <c r="H40" s="250"/>
      <c r="I40" s="352"/>
      <c r="J40" s="250">
        <v>1</v>
      </c>
      <c r="K40" s="352"/>
      <c r="L40" s="250"/>
      <c r="M40" s="230"/>
      <c r="N40" s="249"/>
      <c r="O40" s="230"/>
      <c r="P40" s="381">
        <f t="shared" si="6"/>
        <v>1</v>
      </c>
      <c r="Q40" s="393">
        <f t="shared" si="7"/>
        <v>0</v>
      </c>
      <c r="R40" s="249" t="s">
        <v>2500</v>
      </c>
      <c r="S40" s="249" t="s">
        <v>2503</v>
      </c>
      <c r="T40" s="539" t="s">
        <v>2502</v>
      </c>
      <c r="U40" s="527" t="s">
        <v>2480</v>
      </c>
    </row>
    <row r="41" spans="1:21" ht="94.5" x14ac:dyDescent="0.25">
      <c r="A41" s="746"/>
      <c r="B41" s="748" t="s">
        <v>1389</v>
      </c>
      <c r="C41" s="249" t="s">
        <v>1579</v>
      </c>
      <c r="D41" s="249" t="s">
        <v>2234</v>
      </c>
      <c r="E41" s="249" t="s">
        <v>2236</v>
      </c>
      <c r="F41" s="249" t="s">
        <v>2235</v>
      </c>
      <c r="G41" s="525" t="s">
        <v>2229</v>
      </c>
      <c r="H41" s="250"/>
      <c r="I41" s="352"/>
      <c r="J41" s="250">
        <v>0.33</v>
      </c>
      <c r="K41" s="352">
        <f>+J41*'1. TALLERES SEMINARIOS'!D75</f>
        <v>2128.5</v>
      </c>
      <c r="L41" s="250">
        <v>0.33</v>
      </c>
      <c r="M41" s="352">
        <f>+L41*'1. TALLERES SEMINARIOS'!D75</f>
        <v>2128.5</v>
      </c>
      <c r="N41" s="250">
        <v>0.34</v>
      </c>
      <c r="O41" s="352">
        <f>+N41*'1. TALLERES SEMINARIOS'!D75</f>
        <v>2193</v>
      </c>
      <c r="P41" s="381">
        <f t="shared" si="0"/>
        <v>1</v>
      </c>
      <c r="Q41" s="393">
        <f t="shared" si="1"/>
        <v>6450</v>
      </c>
      <c r="R41" s="580" t="s">
        <v>2230</v>
      </c>
      <c r="S41" s="249" t="s">
        <v>2231</v>
      </c>
      <c r="T41" s="249" t="s">
        <v>2232</v>
      </c>
      <c r="U41" s="249" t="s">
        <v>2233</v>
      </c>
    </row>
    <row r="42" spans="1:21" ht="94.5" x14ac:dyDescent="0.25">
      <c r="A42" s="746"/>
      <c r="B42" s="748"/>
      <c r="C42" s="249" t="s">
        <v>1579</v>
      </c>
      <c r="D42" s="249" t="s">
        <v>2234</v>
      </c>
      <c r="E42" s="249" t="s">
        <v>2236</v>
      </c>
      <c r="F42" s="249" t="s">
        <v>2456</v>
      </c>
      <c r="G42" s="525" t="s">
        <v>2455</v>
      </c>
      <c r="H42" s="250"/>
      <c r="I42" s="352"/>
      <c r="J42" s="205">
        <v>0.5</v>
      </c>
      <c r="K42" s="352">
        <f>+J42*'1. TALLERES SEMINARIOS'!D88</f>
        <v>2475</v>
      </c>
      <c r="L42" s="250">
        <v>0.5</v>
      </c>
      <c r="M42" s="352">
        <f>+L42*'1. TALLERES SEMINARIOS'!D88</f>
        <v>2475</v>
      </c>
      <c r="N42" s="249"/>
      <c r="O42" s="230"/>
      <c r="P42" s="381">
        <f t="shared" si="0"/>
        <v>1</v>
      </c>
      <c r="Q42" s="393">
        <f t="shared" si="1"/>
        <v>4950</v>
      </c>
      <c r="R42" s="580" t="s">
        <v>2457</v>
      </c>
      <c r="S42" s="249" t="s">
        <v>2231</v>
      </c>
      <c r="T42" s="249" t="s">
        <v>2458</v>
      </c>
      <c r="U42" s="249" t="s">
        <v>2459</v>
      </c>
    </row>
    <row r="43" spans="1:21" ht="110.25" x14ac:dyDescent="0.25">
      <c r="A43" s="746"/>
      <c r="B43" s="748"/>
      <c r="C43" s="249" t="s">
        <v>1579</v>
      </c>
      <c r="D43" s="249" t="s">
        <v>2234</v>
      </c>
      <c r="E43" s="249" t="s">
        <v>2236</v>
      </c>
      <c r="F43" s="249" t="s">
        <v>2461</v>
      </c>
      <c r="G43" s="578" t="s">
        <v>2460</v>
      </c>
      <c r="H43" s="250"/>
      <c r="I43" s="352"/>
      <c r="J43" s="250">
        <v>0.5</v>
      </c>
      <c r="K43" s="352">
        <f>+J43*'1. TALLERES SEMINARIOS'!D98</f>
        <v>10650</v>
      </c>
      <c r="L43" s="250"/>
      <c r="M43" s="230"/>
      <c r="N43" s="250">
        <v>0.5</v>
      </c>
      <c r="O43" s="352">
        <f>+N43*'1. TALLERES SEMINARIOS'!D98</f>
        <v>10650</v>
      </c>
      <c r="P43" s="381">
        <f t="shared" si="0"/>
        <v>1</v>
      </c>
      <c r="Q43" s="393">
        <f t="shared" si="1"/>
        <v>21300</v>
      </c>
      <c r="R43" s="580" t="s">
        <v>2462</v>
      </c>
      <c r="S43" s="249" t="s">
        <v>2231</v>
      </c>
      <c r="T43" s="249" t="s">
        <v>2463</v>
      </c>
      <c r="U43" s="249" t="s">
        <v>2464</v>
      </c>
    </row>
    <row r="44" spans="1:21" s="464" customFormat="1" ht="157.5" x14ac:dyDescent="0.25">
      <c r="A44" s="746"/>
      <c r="B44" s="748"/>
      <c r="C44" s="249" t="s">
        <v>1579</v>
      </c>
      <c r="D44" s="249" t="s">
        <v>2165</v>
      </c>
      <c r="E44" s="249" t="s">
        <v>2164</v>
      </c>
      <c r="F44" s="249" t="s">
        <v>2495</v>
      </c>
      <c r="G44" s="525" t="s">
        <v>2160</v>
      </c>
      <c r="H44" s="250"/>
      <c r="I44" s="352"/>
      <c r="J44" s="250">
        <v>0.5</v>
      </c>
      <c r="K44" s="352"/>
      <c r="L44" s="250">
        <v>0.5</v>
      </c>
      <c r="M44" s="230"/>
      <c r="N44" s="249"/>
      <c r="O44" s="230"/>
      <c r="P44" s="381">
        <f t="shared" ref="P44" si="8">H44+J44+L44+N44</f>
        <v>1</v>
      </c>
      <c r="Q44" s="393">
        <f t="shared" ref="Q44" si="9">I44+K44+M44+O44</f>
        <v>0</v>
      </c>
      <c r="R44" s="249" t="s">
        <v>2166</v>
      </c>
      <c r="S44" s="249" t="s">
        <v>2163</v>
      </c>
      <c r="T44" s="249" t="s">
        <v>2161</v>
      </c>
      <c r="U44" s="249" t="s">
        <v>2162</v>
      </c>
    </row>
    <row r="45" spans="1:21" s="464" customFormat="1" ht="15.75" x14ac:dyDescent="0.25">
      <c r="A45" s="746"/>
      <c r="B45" s="748"/>
      <c r="C45" s="249"/>
      <c r="D45" s="249"/>
      <c r="E45" s="249"/>
      <c r="F45" s="249"/>
      <c r="G45" s="618"/>
      <c r="H45" s="250"/>
      <c r="I45" s="352"/>
      <c r="J45" s="250"/>
      <c r="K45" s="352"/>
      <c r="L45" s="250"/>
      <c r="M45" s="230"/>
      <c r="N45" s="250"/>
      <c r="O45" s="352"/>
      <c r="P45" s="381">
        <f t="shared" si="0"/>
        <v>0</v>
      </c>
      <c r="Q45" s="382">
        <f t="shared" si="1"/>
        <v>0</v>
      </c>
      <c r="R45" s="683"/>
      <c r="S45" s="249"/>
      <c r="T45" s="249"/>
      <c r="U45" s="249"/>
    </row>
    <row r="46" spans="1:21" s="464" customFormat="1" ht="15.75" x14ac:dyDescent="0.25">
      <c r="A46" s="746"/>
      <c r="B46" s="748"/>
      <c r="C46" s="249"/>
      <c r="D46" s="249"/>
      <c r="E46" s="249"/>
      <c r="F46" s="249"/>
      <c r="G46" s="618"/>
      <c r="H46" s="250"/>
      <c r="I46" s="352"/>
      <c r="J46" s="250"/>
      <c r="K46" s="352"/>
      <c r="L46" s="250"/>
      <c r="M46" s="230"/>
      <c r="N46" s="250"/>
      <c r="O46" s="352"/>
      <c r="P46" s="381">
        <f t="shared" si="0"/>
        <v>0</v>
      </c>
      <c r="Q46" s="382">
        <f t="shared" si="1"/>
        <v>0</v>
      </c>
      <c r="R46" s="683"/>
      <c r="S46" s="249"/>
      <c r="T46" s="249"/>
      <c r="U46" s="249"/>
    </row>
    <row r="47" spans="1:21" s="464" customFormat="1" ht="15.75" x14ac:dyDescent="0.25">
      <c r="A47" s="746"/>
      <c r="B47" s="748"/>
      <c r="C47" s="249"/>
      <c r="D47" s="249"/>
      <c r="E47" s="249"/>
      <c r="F47" s="249"/>
      <c r="G47" s="618"/>
      <c r="H47" s="250"/>
      <c r="I47" s="352"/>
      <c r="J47" s="250"/>
      <c r="K47" s="352"/>
      <c r="L47" s="250"/>
      <c r="M47" s="230"/>
      <c r="N47" s="250"/>
      <c r="O47" s="352"/>
      <c r="P47" s="381">
        <f t="shared" si="0"/>
        <v>0</v>
      </c>
      <c r="Q47" s="382">
        <f t="shared" si="1"/>
        <v>0</v>
      </c>
      <c r="R47" s="683"/>
      <c r="S47" s="249"/>
      <c r="T47" s="249"/>
      <c r="U47" s="249"/>
    </row>
    <row r="48" spans="1:21" s="464" customFormat="1" ht="15.75" x14ac:dyDescent="0.25">
      <c r="A48" s="746"/>
      <c r="B48" s="748"/>
      <c r="C48" s="249"/>
      <c r="D48" s="249"/>
      <c r="E48" s="249"/>
      <c r="F48" s="249"/>
      <c r="G48" s="618"/>
      <c r="H48" s="250"/>
      <c r="I48" s="352"/>
      <c r="J48" s="250"/>
      <c r="K48" s="352"/>
      <c r="L48" s="250"/>
      <c r="M48" s="230"/>
      <c r="N48" s="250"/>
      <c r="O48" s="352"/>
      <c r="P48" s="381">
        <f t="shared" si="0"/>
        <v>0</v>
      </c>
      <c r="Q48" s="382">
        <f t="shared" si="1"/>
        <v>0</v>
      </c>
      <c r="R48" s="683"/>
      <c r="S48" s="249"/>
      <c r="T48" s="249"/>
      <c r="U48" s="249"/>
    </row>
    <row r="49" spans="1:21" s="464" customFormat="1" ht="15.75" x14ac:dyDescent="0.25">
      <c r="A49" s="746"/>
      <c r="B49" s="748"/>
      <c r="C49" s="249"/>
      <c r="D49" s="249"/>
      <c r="E49" s="249"/>
      <c r="F49" s="249"/>
      <c r="G49" s="618"/>
      <c r="H49" s="250"/>
      <c r="I49" s="352"/>
      <c r="J49" s="250"/>
      <c r="K49" s="352"/>
      <c r="L49" s="250"/>
      <c r="M49" s="230"/>
      <c r="N49" s="250"/>
      <c r="O49" s="352"/>
      <c r="P49" s="381">
        <f t="shared" ref="P49:P52" si="10">H49+J49+L49+N49</f>
        <v>0</v>
      </c>
      <c r="Q49" s="382">
        <f t="shared" ref="Q49:Q52" si="11">I49+K49+M49+O49</f>
        <v>0</v>
      </c>
      <c r="R49" s="683"/>
      <c r="S49" s="249"/>
      <c r="T49" s="249"/>
      <c r="U49" s="249"/>
    </row>
    <row r="50" spans="1:21" s="464" customFormat="1" ht="15.75" x14ac:dyDescent="0.25">
      <c r="A50" s="746"/>
      <c r="B50" s="748"/>
      <c r="C50" s="249"/>
      <c r="D50" s="249"/>
      <c r="E50" s="249"/>
      <c r="F50" s="249"/>
      <c r="G50" s="618"/>
      <c r="H50" s="250"/>
      <c r="I50" s="352"/>
      <c r="J50" s="250"/>
      <c r="K50" s="352"/>
      <c r="L50" s="250"/>
      <c r="M50" s="230"/>
      <c r="N50" s="250"/>
      <c r="O50" s="352"/>
      <c r="P50" s="381">
        <f t="shared" si="10"/>
        <v>0</v>
      </c>
      <c r="Q50" s="382">
        <f t="shared" si="11"/>
        <v>0</v>
      </c>
      <c r="R50" s="683"/>
      <c r="S50" s="249"/>
      <c r="T50" s="249"/>
      <c r="U50" s="249"/>
    </row>
    <row r="51" spans="1:21" s="464" customFormat="1" ht="15.75" x14ac:dyDescent="0.25">
      <c r="A51" s="746"/>
      <c r="B51" s="748"/>
      <c r="C51" s="249"/>
      <c r="D51" s="249"/>
      <c r="E51" s="249"/>
      <c r="F51" s="249"/>
      <c r="G51" s="618"/>
      <c r="H51" s="250"/>
      <c r="I51" s="352"/>
      <c r="J51" s="250"/>
      <c r="K51" s="352"/>
      <c r="L51" s="250"/>
      <c r="M51" s="230"/>
      <c r="N51" s="250"/>
      <c r="O51" s="352"/>
      <c r="P51" s="381">
        <f t="shared" si="10"/>
        <v>0</v>
      </c>
      <c r="Q51" s="382">
        <f t="shared" si="11"/>
        <v>0</v>
      </c>
      <c r="R51" s="683"/>
      <c r="S51" s="249"/>
      <c r="T51" s="249"/>
      <c r="U51" s="249"/>
    </row>
    <row r="52" spans="1:21" s="464" customFormat="1" ht="15.75" x14ac:dyDescent="0.25">
      <c r="A52" s="746"/>
      <c r="B52" s="748"/>
      <c r="C52" s="249"/>
      <c r="D52" s="249"/>
      <c r="E52" s="249"/>
      <c r="F52" s="249"/>
      <c r="G52" s="618"/>
      <c r="H52" s="250"/>
      <c r="I52" s="352"/>
      <c r="J52" s="250"/>
      <c r="K52" s="352"/>
      <c r="L52" s="250"/>
      <c r="M52" s="230"/>
      <c r="N52" s="250"/>
      <c r="O52" s="352"/>
      <c r="P52" s="381">
        <f t="shared" si="10"/>
        <v>0</v>
      </c>
      <c r="Q52" s="382">
        <f t="shared" si="11"/>
        <v>0</v>
      </c>
      <c r="R52" s="683"/>
      <c r="S52" s="249"/>
      <c r="T52" s="249"/>
      <c r="U52" s="249"/>
    </row>
    <row r="53" spans="1:21" ht="15.75" x14ac:dyDescent="0.25">
      <c r="A53" s="746"/>
      <c r="B53" s="748"/>
      <c r="C53" s="249"/>
      <c r="D53" s="249"/>
      <c r="E53" s="249"/>
      <c r="F53" s="249"/>
      <c r="G53" s="249"/>
      <c r="H53" s="249"/>
      <c r="I53" s="230"/>
      <c r="J53" s="249"/>
      <c r="K53" s="230"/>
      <c r="L53" s="249"/>
      <c r="M53" s="230"/>
      <c r="N53" s="249"/>
      <c r="O53" s="230"/>
      <c r="P53" s="381">
        <f t="shared" si="0"/>
        <v>0</v>
      </c>
      <c r="Q53" s="382">
        <f t="shared" si="1"/>
        <v>0</v>
      </c>
      <c r="R53" s="249"/>
      <c r="S53" s="249"/>
      <c r="T53" s="249"/>
      <c r="U53" s="249"/>
    </row>
    <row r="54" spans="1:21" ht="15.75" x14ac:dyDescent="0.25">
      <c r="A54" s="747"/>
      <c r="B54" s="748"/>
      <c r="C54" s="249"/>
      <c r="D54" s="249"/>
      <c r="E54" s="249"/>
      <c r="F54" s="249"/>
      <c r="G54" s="249"/>
      <c r="H54" s="249"/>
      <c r="I54" s="230"/>
      <c r="J54" s="249"/>
      <c r="K54" s="230"/>
      <c r="L54" s="249"/>
      <c r="M54" s="230"/>
      <c r="N54" s="249"/>
      <c r="O54" s="230"/>
      <c r="P54" s="381">
        <f t="shared" si="0"/>
        <v>0</v>
      </c>
      <c r="Q54" s="382">
        <f t="shared" si="1"/>
        <v>0</v>
      </c>
      <c r="R54" s="249"/>
      <c r="S54" s="249"/>
      <c r="T54" s="249"/>
      <c r="U54" s="249"/>
    </row>
    <row r="55" spans="1:21" ht="15.75" x14ac:dyDescent="0.25">
      <c r="A55" s="756" t="s">
        <v>477</v>
      </c>
      <c r="B55" s="757"/>
      <c r="C55" s="757"/>
      <c r="D55" s="757"/>
      <c r="E55" s="757"/>
      <c r="F55" s="757"/>
      <c r="G55" s="757"/>
      <c r="H55" s="757"/>
      <c r="I55" s="757"/>
      <c r="J55" s="757"/>
      <c r="K55" s="757"/>
      <c r="L55" s="757"/>
      <c r="M55" s="757"/>
      <c r="N55" s="757"/>
      <c r="O55" s="757"/>
      <c r="P55" s="757"/>
      <c r="Q55" s="757"/>
      <c r="R55" s="757"/>
      <c r="S55" s="757"/>
      <c r="T55" s="757"/>
      <c r="U55" s="758"/>
    </row>
    <row r="56" spans="1:21" ht="15.75" customHeight="1" x14ac:dyDescent="0.25">
      <c r="A56" s="745" t="s">
        <v>1394</v>
      </c>
      <c r="B56" s="748" t="s">
        <v>1395</v>
      </c>
      <c r="C56" s="249"/>
      <c r="D56" s="249"/>
      <c r="E56" s="249"/>
      <c r="F56" s="249"/>
      <c r="G56" s="253"/>
      <c r="H56" s="249"/>
      <c r="I56" s="230"/>
      <c r="J56" s="249"/>
      <c r="K56" s="230"/>
      <c r="L56" s="249"/>
      <c r="M56" s="230"/>
      <c r="N56" s="249"/>
      <c r="O56" s="230"/>
      <c r="P56" s="381">
        <f t="shared" ref="P56:P67" si="12">H56+J56+L56+N56</f>
        <v>0</v>
      </c>
      <c r="Q56" s="382">
        <f t="shared" ref="Q56:Q67" si="13">I56+K56+M56+O56</f>
        <v>0</v>
      </c>
      <c r="R56" s="249"/>
      <c r="S56" s="249"/>
      <c r="T56" s="249"/>
      <c r="U56" s="271"/>
    </row>
    <row r="57" spans="1:21" ht="15.75" x14ac:dyDescent="0.25">
      <c r="A57" s="746"/>
      <c r="B57" s="748"/>
      <c r="C57" s="249"/>
      <c r="D57" s="249"/>
      <c r="E57" s="249"/>
      <c r="F57" s="249"/>
      <c r="G57" s="253"/>
      <c r="H57" s="249"/>
      <c r="I57" s="230"/>
      <c r="J57" s="249"/>
      <c r="K57" s="230"/>
      <c r="L57" s="249"/>
      <c r="M57" s="230"/>
      <c r="N57" s="249"/>
      <c r="O57" s="230"/>
      <c r="P57" s="381">
        <f t="shared" si="12"/>
        <v>0</v>
      </c>
      <c r="Q57" s="382">
        <f t="shared" si="13"/>
        <v>0</v>
      </c>
      <c r="R57" s="249"/>
      <c r="S57" s="249"/>
      <c r="T57" s="249"/>
      <c r="U57" s="271"/>
    </row>
    <row r="58" spans="1:21" ht="15.75" x14ac:dyDescent="0.25">
      <c r="A58" s="746"/>
      <c r="B58" s="748"/>
      <c r="C58" s="249"/>
      <c r="D58" s="249"/>
      <c r="E58" s="249"/>
      <c r="F58" s="249"/>
      <c r="G58" s="253"/>
      <c r="H58" s="249"/>
      <c r="I58" s="230"/>
      <c r="J58" s="249"/>
      <c r="K58" s="230"/>
      <c r="L58" s="249"/>
      <c r="M58" s="230"/>
      <c r="N58" s="249"/>
      <c r="O58" s="230"/>
      <c r="P58" s="381">
        <f t="shared" si="12"/>
        <v>0</v>
      </c>
      <c r="Q58" s="382">
        <f t="shared" si="13"/>
        <v>0</v>
      </c>
      <c r="R58" s="249"/>
      <c r="S58" s="249"/>
      <c r="T58" s="249"/>
      <c r="U58" s="271"/>
    </row>
    <row r="59" spans="1:21" ht="15.75" x14ac:dyDescent="0.25">
      <c r="A59" s="746"/>
      <c r="B59" s="748"/>
      <c r="C59" s="249"/>
      <c r="D59" s="249"/>
      <c r="E59" s="249"/>
      <c r="F59" s="249"/>
      <c r="G59" s="253"/>
      <c r="H59" s="249"/>
      <c r="I59" s="230"/>
      <c r="J59" s="249"/>
      <c r="K59" s="230"/>
      <c r="L59" s="249"/>
      <c r="M59" s="230"/>
      <c r="N59" s="249"/>
      <c r="O59" s="230"/>
      <c r="P59" s="381">
        <f t="shared" si="12"/>
        <v>0</v>
      </c>
      <c r="Q59" s="382">
        <f t="shared" si="13"/>
        <v>0</v>
      </c>
      <c r="R59" s="249"/>
      <c r="S59" s="249"/>
      <c r="T59" s="249"/>
      <c r="U59" s="271"/>
    </row>
    <row r="60" spans="1:21" ht="15.75" x14ac:dyDescent="0.25">
      <c r="A60" s="746"/>
      <c r="B60" s="748"/>
      <c r="C60" s="249"/>
      <c r="D60" s="249"/>
      <c r="E60" s="249"/>
      <c r="F60" s="249"/>
      <c r="G60" s="253"/>
      <c r="H60" s="249"/>
      <c r="I60" s="230"/>
      <c r="J60" s="249"/>
      <c r="K60" s="230"/>
      <c r="L60" s="249"/>
      <c r="M60" s="230"/>
      <c r="N60" s="249"/>
      <c r="O60" s="230"/>
      <c r="P60" s="381">
        <f t="shared" si="12"/>
        <v>0</v>
      </c>
      <c r="Q60" s="382">
        <f t="shared" si="13"/>
        <v>0</v>
      </c>
      <c r="R60" s="249"/>
      <c r="S60" s="249"/>
      <c r="T60" s="249"/>
      <c r="U60" s="271"/>
    </row>
    <row r="61" spans="1:21" ht="15.75" x14ac:dyDescent="0.25">
      <c r="A61" s="747"/>
      <c r="B61" s="748"/>
      <c r="C61" s="249"/>
      <c r="D61" s="249"/>
      <c r="E61" s="249"/>
      <c r="F61" s="249"/>
      <c r="G61" s="253"/>
      <c r="H61" s="249"/>
      <c r="I61" s="230"/>
      <c r="J61" s="249"/>
      <c r="K61" s="230"/>
      <c r="L61" s="249"/>
      <c r="M61" s="230"/>
      <c r="N61" s="249"/>
      <c r="O61" s="230"/>
      <c r="P61" s="381">
        <f t="shared" si="12"/>
        <v>0</v>
      </c>
      <c r="Q61" s="382">
        <f t="shared" si="13"/>
        <v>0</v>
      </c>
      <c r="R61" s="249"/>
      <c r="S61" s="249"/>
      <c r="T61" s="249"/>
      <c r="U61" s="271"/>
    </row>
    <row r="62" spans="1:21" ht="15.75" x14ac:dyDescent="0.25">
      <c r="A62" s="748" t="s">
        <v>1392</v>
      </c>
      <c r="B62" s="748" t="s">
        <v>1396</v>
      </c>
      <c r="C62" s="249"/>
      <c r="D62" s="249"/>
      <c r="E62" s="249"/>
      <c r="F62" s="249"/>
      <c r="G62" s="249"/>
      <c r="H62" s="249"/>
      <c r="I62" s="230"/>
      <c r="J62" s="249"/>
      <c r="K62" s="230"/>
      <c r="L62" s="250"/>
      <c r="M62" s="230"/>
      <c r="N62" s="249"/>
      <c r="O62" s="230"/>
      <c r="P62" s="383">
        <f t="shared" si="12"/>
        <v>0</v>
      </c>
      <c r="Q62" s="382">
        <f t="shared" si="13"/>
        <v>0</v>
      </c>
      <c r="R62" s="249"/>
      <c r="S62" s="249"/>
      <c r="T62" s="249"/>
      <c r="U62" s="325"/>
    </row>
    <row r="63" spans="1:21" ht="15.75" x14ac:dyDescent="0.25">
      <c r="A63" s="748"/>
      <c r="B63" s="748"/>
      <c r="C63" s="249"/>
      <c r="D63" s="249"/>
      <c r="E63" s="249"/>
      <c r="F63" s="249"/>
      <c r="G63" s="249"/>
      <c r="H63" s="249"/>
      <c r="I63" s="230"/>
      <c r="J63" s="249"/>
      <c r="K63" s="230"/>
      <c r="L63" s="250"/>
      <c r="M63" s="230"/>
      <c r="N63" s="249"/>
      <c r="O63" s="230"/>
      <c r="P63" s="383">
        <f t="shared" si="12"/>
        <v>0</v>
      </c>
      <c r="Q63" s="382">
        <f t="shared" si="13"/>
        <v>0</v>
      </c>
      <c r="R63" s="249"/>
      <c r="S63" s="249"/>
      <c r="T63" s="249"/>
      <c r="U63" s="325"/>
    </row>
    <row r="64" spans="1:21" ht="15.75" x14ac:dyDescent="0.25">
      <c r="A64" s="748"/>
      <c r="B64" s="748"/>
      <c r="C64" s="249"/>
      <c r="D64" s="249"/>
      <c r="E64" s="249"/>
      <c r="F64" s="249"/>
      <c r="G64" s="249"/>
      <c r="H64" s="249"/>
      <c r="I64" s="230"/>
      <c r="J64" s="249"/>
      <c r="K64" s="230"/>
      <c r="L64" s="250"/>
      <c r="M64" s="230"/>
      <c r="N64" s="249"/>
      <c r="O64" s="230"/>
      <c r="P64" s="383">
        <f t="shared" si="12"/>
        <v>0</v>
      </c>
      <c r="Q64" s="382">
        <f t="shared" si="13"/>
        <v>0</v>
      </c>
      <c r="R64" s="249"/>
      <c r="S64" s="249"/>
      <c r="T64" s="249"/>
      <c r="U64" s="325"/>
    </row>
    <row r="65" spans="1:21" ht="15.75" x14ac:dyDescent="0.25">
      <c r="A65" s="748"/>
      <c r="B65" s="748"/>
      <c r="C65" s="249"/>
      <c r="D65" s="249"/>
      <c r="E65" s="249"/>
      <c r="F65" s="249"/>
      <c r="G65" s="249"/>
      <c r="H65" s="249"/>
      <c r="I65" s="230"/>
      <c r="J65" s="249"/>
      <c r="K65" s="230"/>
      <c r="L65" s="250"/>
      <c r="M65" s="230"/>
      <c r="N65" s="249"/>
      <c r="O65" s="230"/>
      <c r="P65" s="383">
        <f t="shared" si="12"/>
        <v>0</v>
      </c>
      <c r="Q65" s="382">
        <f t="shared" si="13"/>
        <v>0</v>
      </c>
      <c r="R65" s="249"/>
      <c r="S65" s="249"/>
      <c r="T65" s="249"/>
      <c r="U65" s="325"/>
    </row>
    <row r="66" spans="1:21" ht="15.75" x14ac:dyDescent="0.25">
      <c r="A66" s="748"/>
      <c r="B66" s="748"/>
      <c r="C66" s="249"/>
      <c r="D66" s="249"/>
      <c r="E66" s="249"/>
      <c r="F66" s="249"/>
      <c r="G66" s="249"/>
      <c r="H66" s="249"/>
      <c r="I66" s="230"/>
      <c r="J66" s="249"/>
      <c r="K66" s="230"/>
      <c r="L66" s="250"/>
      <c r="M66" s="230"/>
      <c r="N66" s="249"/>
      <c r="O66" s="230"/>
      <c r="P66" s="383">
        <f t="shared" si="12"/>
        <v>0</v>
      </c>
      <c r="Q66" s="382">
        <f t="shared" si="13"/>
        <v>0</v>
      </c>
      <c r="R66" s="249"/>
      <c r="S66" s="249"/>
      <c r="T66" s="249"/>
      <c r="U66" s="325"/>
    </row>
    <row r="67" spans="1:21" ht="15.75" x14ac:dyDescent="0.25">
      <c r="A67" s="748"/>
      <c r="B67" s="748"/>
      <c r="C67" s="249"/>
      <c r="D67" s="249"/>
      <c r="E67" s="249"/>
      <c r="F67" s="249"/>
      <c r="G67" s="249"/>
      <c r="H67" s="249"/>
      <c r="I67" s="230"/>
      <c r="J67" s="249"/>
      <c r="K67" s="230"/>
      <c r="L67" s="249"/>
      <c r="M67" s="230"/>
      <c r="N67" s="250"/>
      <c r="O67" s="230"/>
      <c r="P67" s="383">
        <f t="shared" si="12"/>
        <v>0</v>
      </c>
      <c r="Q67" s="382">
        <f t="shared" si="13"/>
        <v>0</v>
      </c>
      <c r="R67" s="249"/>
      <c r="S67" s="249"/>
      <c r="T67" s="249"/>
      <c r="U67" s="325"/>
    </row>
    <row r="68" spans="1:21" ht="15.75" x14ac:dyDescent="0.25">
      <c r="A68" s="291"/>
      <c r="B68" s="292"/>
      <c r="C68" s="292"/>
      <c r="D68" s="292"/>
      <c r="E68" s="291" t="s">
        <v>1386</v>
      </c>
      <c r="F68" s="292"/>
      <c r="G68" s="293"/>
      <c r="H68" s="273">
        <f t="shared" ref="H68:Q68" si="14">SUM(H10:H67)</f>
        <v>2.58</v>
      </c>
      <c r="I68" s="274">
        <f t="shared" si="14"/>
        <v>1000</v>
      </c>
      <c r="J68" s="273">
        <f t="shared" si="14"/>
        <v>13.41</v>
      </c>
      <c r="K68" s="274">
        <f t="shared" si="14"/>
        <v>23253.5</v>
      </c>
      <c r="L68" s="273">
        <f t="shared" si="14"/>
        <v>15.42</v>
      </c>
      <c r="M68" s="274">
        <f t="shared" si="14"/>
        <v>50803.5</v>
      </c>
      <c r="N68" s="273">
        <f t="shared" si="14"/>
        <v>5.59</v>
      </c>
      <c r="O68" s="274">
        <f t="shared" si="14"/>
        <v>19843</v>
      </c>
      <c r="P68" s="274">
        <f t="shared" si="14"/>
        <v>37</v>
      </c>
      <c r="Q68" s="274">
        <f t="shared" si="14"/>
        <v>94900</v>
      </c>
      <c r="R68" s="263"/>
      <c r="S68" s="263"/>
      <c r="T68" s="263"/>
      <c r="U68" s="263"/>
    </row>
    <row r="70" spans="1:21" x14ac:dyDescent="0.25">
      <c r="I70"/>
      <c r="K70"/>
      <c r="M70"/>
      <c r="O70"/>
      <c r="Q70" s="394"/>
    </row>
    <row r="71" spans="1:21" x14ac:dyDescent="0.25">
      <c r="I71"/>
      <c r="K71"/>
      <c r="M71"/>
      <c r="O71"/>
      <c r="Q71" s="394"/>
    </row>
    <row r="72" spans="1:21" x14ac:dyDescent="0.25">
      <c r="I72"/>
      <c r="K72"/>
      <c r="M72"/>
      <c r="O72"/>
      <c r="Q72" s="394"/>
    </row>
    <row r="73" spans="1:21" x14ac:dyDescent="0.25">
      <c r="I73"/>
      <c r="K73"/>
      <c r="M73"/>
      <c r="O73"/>
      <c r="Q73" s="394"/>
    </row>
    <row r="74" spans="1:21" x14ac:dyDescent="0.25">
      <c r="C74" s="464"/>
      <c r="I74"/>
      <c r="K74"/>
      <c r="M74"/>
      <c r="O74"/>
      <c r="Q74" s="394"/>
    </row>
    <row r="75" spans="1:21" x14ac:dyDescent="0.25">
      <c r="C75" s="464"/>
      <c r="I75"/>
      <c r="K75"/>
      <c r="M75"/>
      <c r="O75"/>
      <c r="Q75" s="394"/>
    </row>
    <row r="76" spans="1:21" x14ac:dyDescent="0.25">
      <c r="C76" s="464"/>
      <c r="I76"/>
      <c r="K76"/>
      <c r="M76"/>
      <c r="O76"/>
      <c r="Q76" s="394"/>
    </row>
    <row r="77" spans="1:21" x14ac:dyDescent="0.25">
      <c r="C77" s="464"/>
      <c r="I77"/>
      <c r="K77"/>
      <c r="M77"/>
      <c r="O77"/>
      <c r="Q77" s="394"/>
    </row>
    <row r="78" spans="1:21" x14ac:dyDescent="0.25">
      <c r="C78" s="464"/>
      <c r="I78"/>
      <c r="K78"/>
      <c r="M78"/>
      <c r="O78"/>
      <c r="Q78" s="394"/>
    </row>
    <row r="79" spans="1:21" x14ac:dyDescent="0.25">
      <c r="C79" s="464"/>
      <c r="I79"/>
      <c r="K79"/>
      <c r="M79"/>
      <c r="O79"/>
      <c r="Q79" s="394"/>
    </row>
    <row r="80" spans="1:21" x14ac:dyDescent="0.25">
      <c r="C80" s="464"/>
      <c r="I80"/>
      <c r="K80"/>
      <c r="M80"/>
      <c r="O80"/>
      <c r="Q80" s="394"/>
    </row>
    <row r="81" spans="3:17" x14ac:dyDescent="0.25">
      <c r="C81" s="464"/>
      <c r="I81"/>
      <c r="K81"/>
      <c r="M81"/>
      <c r="O81"/>
      <c r="Q81" s="394"/>
    </row>
    <row r="82" spans="3:17" x14ac:dyDescent="0.25">
      <c r="C82" s="464"/>
      <c r="I82"/>
      <c r="K82"/>
      <c r="M82"/>
      <c r="O82"/>
      <c r="Q82" s="394"/>
    </row>
    <row r="83" spans="3:17" x14ac:dyDescent="0.25">
      <c r="C83" s="464"/>
      <c r="I83"/>
      <c r="K83"/>
      <c r="M83"/>
      <c r="O83"/>
      <c r="Q83" s="394"/>
    </row>
    <row r="84" spans="3:17" x14ac:dyDescent="0.25">
      <c r="C84" s="464"/>
      <c r="I84"/>
      <c r="K84"/>
      <c r="M84"/>
      <c r="O84"/>
      <c r="Q84" s="394"/>
    </row>
    <row r="85" spans="3:17" x14ac:dyDescent="0.25">
      <c r="C85" s="464"/>
      <c r="I85"/>
      <c r="K85"/>
      <c r="M85"/>
      <c r="O85"/>
      <c r="Q85" s="394"/>
    </row>
    <row r="86" spans="3:17" x14ac:dyDescent="0.25">
      <c r="C86" s="464"/>
      <c r="I86"/>
      <c r="K86"/>
      <c r="M86"/>
      <c r="O86"/>
      <c r="Q86" s="394"/>
    </row>
    <row r="87" spans="3:17" x14ac:dyDescent="0.25">
      <c r="C87" s="464"/>
      <c r="I87"/>
      <c r="K87"/>
      <c r="M87"/>
      <c r="O87"/>
      <c r="Q87" s="394"/>
    </row>
    <row r="88" spans="3:17" x14ac:dyDescent="0.25">
      <c r="C88" s="464"/>
    </row>
    <row r="89" spans="3:17" x14ac:dyDescent="0.25">
      <c r="C89" s="464"/>
    </row>
    <row r="90" spans="3:17" x14ac:dyDescent="0.25">
      <c r="C90" s="464"/>
    </row>
    <row r="91" spans="3:17" x14ac:dyDescent="0.25">
      <c r="C91" s="464"/>
    </row>
    <row r="92" spans="3:17" x14ac:dyDescent="0.25">
      <c r="C92" s="464"/>
    </row>
    <row r="93" spans="3:17" x14ac:dyDescent="0.25">
      <c r="C93" s="464"/>
    </row>
    <row r="94" spans="3:17" x14ac:dyDescent="0.25">
      <c r="C94" s="464"/>
    </row>
  </sheetData>
  <mergeCells count="30">
    <mergeCell ref="A10:A54"/>
    <mergeCell ref="A6:A8"/>
    <mergeCell ref="B6:B8"/>
    <mergeCell ref="C6:C8"/>
    <mergeCell ref="E6:E8"/>
    <mergeCell ref="D6:D8"/>
    <mergeCell ref="U6:U8"/>
    <mergeCell ref="H7:I7"/>
    <mergeCell ref="J7:K7"/>
    <mergeCell ref="P6:Q7"/>
    <mergeCell ref="R6:R8"/>
    <mergeCell ref="S6:S8"/>
    <mergeCell ref="T6:T8"/>
    <mergeCell ref="L7:M7"/>
    <mergeCell ref="N7:O7"/>
    <mergeCell ref="G6:G8"/>
    <mergeCell ref="H6:O6"/>
    <mergeCell ref="B10:B13"/>
    <mergeCell ref="B38:B40"/>
    <mergeCell ref="B41:B54"/>
    <mergeCell ref="C27:C37"/>
    <mergeCell ref="C20:C26"/>
    <mergeCell ref="C13:C18"/>
    <mergeCell ref="F6:F8"/>
    <mergeCell ref="B14:B37"/>
    <mergeCell ref="A55:U55"/>
    <mergeCell ref="B56:B61"/>
    <mergeCell ref="B62:B67"/>
    <mergeCell ref="A62:A67"/>
    <mergeCell ref="A56:A61"/>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56:C67">
      <formula1>$C$1:$D$1</formula1>
    </dataValidation>
    <dataValidation type="list" allowBlank="1" showInputMessage="1" showErrorMessage="1" sqref="C27 C10:C13 C19:C20 C38:C54">
      <formula1>$M$1:$AG$1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E1" workbookViewId="0">
      <pane ySplit="6" topLeftCell="A18" activePane="bottomLeft" state="frozen"/>
      <selection activeCell="P6" sqref="P6"/>
      <selection pane="bottomLeft" activeCell="G24" sqref="G24"/>
    </sheetView>
  </sheetViews>
  <sheetFormatPr baseColWidth="10" defaultRowHeight="15" x14ac:dyDescent="0.25"/>
  <cols>
    <col min="1" max="1" width="21.7109375" customWidth="1"/>
    <col min="2" max="2" width="42.85546875" customWidth="1"/>
    <col min="3" max="3" width="27.42578125" customWidth="1"/>
    <col min="4" max="4" width="27.42578125" style="464"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4" customFormat="1" ht="18" customHeight="1" x14ac:dyDescent="0.25">
      <c r="B1" s="283"/>
      <c r="C1" s="513" t="s">
        <v>1596</v>
      </c>
      <c r="D1" s="513" t="s">
        <v>1597</v>
      </c>
      <c r="E1" s="513" t="s">
        <v>1598</v>
      </c>
      <c r="F1" s="283"/>
      <c r="G1" s="283"/>
      <c r="H1" s="283" t="s">
        <v>114</v>
      </c>
      <c r="J1" s="283"/>
      <c r="K1" s="283"/>
      <c r="L1" s="283"/>
      <c r="M1" s="283"/>
      <c r="N1" s="283"/>
      <c r="O1" s="283"/>
      <c r="P1" s="283"/>
      <c r="Q1" s="283"/>
      <c r="R1" s="283"/>
      <c r="S1" s="283"/>
      <c r="T1" s="283"/>
      <c r="U1" s="283"/>
    </row>
    <row r="2" spans="1:21" s="284" customFormat="1" ht="18" customHeight="1" x14ac:dyDescent="0.25">
      <c r="A2" s="318" t="s">
        <v>1349</v>
      </c>
      <c r="B2" s="283"/>
      <c r="C2" s="283"/>
      <c r="D2" s="283"/>
      <c r="E2" s="283"/>
      <c r="F2" s="283"/>
      <c r="G2" s="283"/>
      <c r="H2" s="283"/>
      <c r="J2" s="283"/>
      <c r="K2" s="283"/>
      <c r="L2" s="283"/>
      <c r="M2" s="283"/>
      <c r="N2" s="283"/>
      <c r="O2" s="283"/>
      <c r="P2" s="283"/>
      <c r="Q2" s="283"/>
      <c r="R2" s="283"/>
      <c r="S2" s="283"/>
      <c r="T2" s="283"/>
      <c r="U2" s="283"/>
    </row>
    <row r="3" spans="1:21" s="284" customFormat="1" ht="18.75" x14ac:dyDescent="0.2">
      <c r="A3" s="353" t="s">
        <v>1397</v>
      </c>
      <c r="B3" s="283"/>
      <c r="C3" s="283"/>
      <c r="D3" s="283"/>
      <c r="E3" s="283"/>
      <c r="F3" s="283"/>
      <c r="G3" s="283"/>
      <c r="H3" s="283"/>
      <c r="J3" s="283"/>
      <c r="K3" s="283"/>
      <c r="L3" s="283"/>
      <c r="M3" s="283"/>
      <c r="N3" s="283"/>
      <c r="O3" s="283"/>
      <c r="P3" s="283"/>
      <c r="Q3" s="283"/>
      <c r="R3" s="283"/>
      <c r="S3" s="283"/>
      <c r="T3" s="283"/>
      <c r="U3" s="283"/>
    </row>
    <row r="4" spans="1:21" s="66" customFormat="1" ht="15.7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102</v>
      </c>
      <c r="S4" s="722" t="s">
        <v>109</v>
      </c>
      <c r="T4" s="722" t="s">
        <v>108</v>
      </c>
      <c r="U4" s="738" t="s">
        <v>88</v>
      </c>
    </row>
    <row r="5" spans="1:21" s="66" customFormat="1"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39"/>
    </row>
    <row r="6" spans="1:21" s="67" customFormat="1" ht="25.5"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40"/>
    </row>
    <row r="7" spans="1:21" s="67"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x14ac:dyDescent="0.25">
      <c r="A8" s="762" t="s">
        <v>1398</v>
      </c>
      <c r="B8" s="762" t="s">
        <v>111</v>
      </c>
      <c r="C8" s="325"/>
      <c r="D8" s="325"/>
      <c r="E8" s="325"/>
      <c r="F8" s="325"/>
      <c r="G8" s="73"/>
      <c r="H8" s="351"/>
      <c r="I8" s="354"/>
      <c r="J8" s="351"/>
      <c r="K8" s="354"/>
      <c r="L8" s="351"/>
      <c r="M8" s="354"/>
      <c r="N8" s="351"/>
      <c r="O8" s="354"/>
      <c r="P8" s="396">
        <f>H8+J8+L8+N8</f>
        <v>0</v>
      </c>
      <c r="Q8" s="397">
        <f>I8+K8+M8+O8</f>
        <v>0</v>
      </c>
      <c r="R8" s="348"/>
      <c r="S8" s="249"/>
      <c r="T8" s="249"/>
      <c r="U8" s="249"/>
    </row>
    <row r="9" spans="1:21" ht="15.75" x14ac:dyDescent="0.25">
      <c r="A9" s="762"/>
      <c r="B9" s="762"/>
      <c r="C9" s="325"/>
      <c r="D9" s="325"/>
      <c r="E9" s="325"/>
      <c r="F9" s="325"/>
      <c r="G9" s="73"/>
      <c r="H9" s="351"/>
      <c r="I9" s="354"/>
      <c r="J9" s="351"/>
      <c r="K9" s="354"/>
      <c r="L9" s="351"/>
      <c r="M9" s="354"/>
      <c r="N9" s="351"/>
      <c r="O9" s="354"/>
      <c r="P9" s="396">
        <f t="shared" ref="P9:P26" si="0">H9+J9+L9+N9</f>
        <v>0</v>
      </c>
      <c r="Q9" s="397">
        <f t="shared" ref="Q9:Q26" si="1">I9+K9+M9+O9</f>
        <v>0</v>
      </c>
      <c r="R9" s="348"/>
      <c r="S9" s="249"/>
      <c r="T9" s="249"/>
      <c r="U9" s="249"/>
    </row>
    <row r="10" spans="1:21" ht="15.75" x14ac:dyDescent="0.25">
      <c r="A10" s="762"/>
      <c r="B10" s="762"/>
      <c r="C10" s="325"/>
      <c r="D10" s="325"/>
      <c r="E10" s="325"/>
      <c r="F10" s="325"/>
      <c r="G10" s="73"/>
      <c r="H10" s="351"/>
      <c r="I10" s="354"/>
      <c r="J10" s="351"/>
      <c r="K10" s="354"/>
      <c r="L10" s="351"/>
      <c r="M10" s="354"/>
      <c r="N10" s="351"/>
      <c r="O10" s="354"/>
      <c r="P10" s="396">
        <f t="shared" si="0"/>
        <v>0</v>
      </c>
      <c r="Q10" s="397">
        <f t="shared" si="1"/>
        <v>0</v>
      </c>
      <c r="R10" s="348"/>
      <c r="S10" s="249"/>
      <c r="T10" s="249"/>
      <c r="U10" s="249"/>
    </row>
    <row r="11" spans="1:21" ht="15.75" x14ac:dyDescent="0.25">
      <c r="A11" s="762"/>
      <c r="B11" s="762"/>
      <c r="C11" s="325"/>
      <c r="D11" s="325"/>
      <c r="E11" s="325"/>
      <c r="F11" s="325"/>
      <c r="G11" s="73"/>
      <c r="H11" s="351"/>
      <c r="I11" s="354"/>
      <c r="J11" s="351"/>
      <c r="K11" s="354"/>
      <c r="L11" s="351"/>
      <c r="M11" s="354"/>
      <c r="N11" s="351"/>
      <c r="O11" s="354"/>
      <c r="P11" s="396">
        <f t="shared" si="0"/>
        <v>0</v>
      </c>
      <c r="Q11" s="397">
        <f t="shared" si="1"/>
        <v>0</v>
      </c>
      <c r="R11" s="348"/>
      <c r="S11" s="249"/>
      <c r="T11" s="249"/>
      <c r="U11" s="249"/>
    </row>
    <row r="12" spans="1:21" ht="15.75" x14ac:dyDescent="0.25">
      <c r="A12" s="762"/>
      <c r="B12" s="762"/>
      <c r="C12" s="325"/>
      <c r="D12" s="325"/>
      <c r="E12" s="325"/>
      <c r="F12" s="325"/>
      <c r="G12" s="73"/>
      <c r="H12" s="351"/>
      <c r="I12" s="354"/>
      <c r="J12" s="351"/>
      <c r="K12" s="354"/>
      <c r="L12" s="351"/>
      <c r="M12" s="354"/>
      <c r="N12" s="351"/>
      <c r="O12" s="354"/>
      <c r="P12" s="396">
        <f t="shared" si="0"/>
        <v>0</v>
      </c>
      <c r="Q12" s="397">
        <f t="shared" si="1"/>
        <v>0</v>
      </c>
      <c r="R12" s="348"/>
      <c r="S12" s="249"/>
      <c r="T12" s="249"/>
      <c r="U12" s="249"/>
    </row>
    <row r="13" spans="1:21" ht="15.75" x14ac:dyDescent="0.25">
      <c r="A13" s="762"/>
      <c r="B13" s="762"/>
      <c r="C13" s="325"/>
      <c r="D13" s="325"/>
      <c r="E13" s="325"/>
      <c r="F13" s="325"/>
      <c r="G13" s="73"/>
      <c r="H13" s="351"/>
      <c r="I13" s="354"/>
      <c r="J13" s="351"/>
      <c r="K13" s="354"/>
      <c r="L13" s="351"/>
      <c r="M13" s="354"/>
      <c r="N13" s="351"/>
      <c r="O13" s="354"/>
      <c r="P13" s="396">
        <f t="shared" si="0"/>
        <v>0</v>
      </c>
      <c r="Q13" s="397">
        <f t="shared" si="1"/>
        <v>0</v>
      </c>
      <c r="R13" s="348"/>
      <c r="S13" s="249"/>
      <c r="T13" s="249"/>
      <c r="U13" s="249"/>
    </row>
    <row r="14" spans="1:21" ht="15.75" x14ac:dyDescent="0.25">
      <c r="A14" s="762"/>
      <c r="B14" s="762" t="s">
        <v>112</v>
      </c>
      <c r="C14" s="325"/>
      <c r="D14" s="325"/>
      <c r="E14" s="325"/>
      <c r="F14" s="325"/>
      <c r="G14" s="73"/>
      <c r="H14" s="351"/>
      <c r="I14" s="354"/>
      <c r="J14" s="351"/>
      <c r="K14" s="354"/>
      <c r="L14" s="351"/>
      <c r="M14" s="354"/>
      <c r="N14" s="351"/>
      <c r="O14" s="354"/>
      <c r="P14" s="396">
        <f t="shared" si="0"/>
        <v>0</v>
      </c>
      <c r="Q14" s="397">
        <f t="shared" si="1"/>
        <v>0</v>
      </c>
      <c r="R14" s="348"/>
      <c r="S14" s="249"/>
      <c r="T14" s="249"/>
      <c r="U14" s="249"/>
    </row>
    <row r="15" spans="1:21" ht="15.75" x14ac:dyDescent="0.25">
      <c r="A15" s="762"/>
      <c r="B15" s="762"/>
      <c r="C15" s="325"/>
      <c r="D15" s="325"/>
      <c r="E15" s="325"/>
      <c r="F15" s="325"/>
      <c r="G15" s="73"/>
      <c r="H15" s="351"/>
      <c r="I15" s="354"/>
      <c r="J15" s="351"/>
      <c r="K15" s="354"/>
      <c r="L15" s="351"/>
      <c r="M15" s="354"/>
      <c r="N15" s="351"/>
      <c r="O15" s="354"/>
      <c r="P15" s="396">
        <f t="shared" si="0"/>
        <v>0</v>
      </c>
      <c r="Q15" s="397">
        <f t="shared" si="1"/>
        <v>0</v>
      </c>
      <c r="R15" s="348"/>
      <c r="S15" s="249"/>
      <c r="T15" s="249"/>
      <c r="U15" s="249"/>
    </row>
    <row r="16" spans="1:21" ht="15.75" x14ac:dyDescent="0.25">
      <c r="A16" s="762"/>
      <c r="B16" s="762"/>
      <c r="C16" s="325"/>
      <c r="D16" s="325"/>
      <c r="E16" s="325"/>
      <c r="F16" s="325"/>
      <c r="G16" s="73"/>
      <c r="H16" s="351"/>
      <c r="I16" s="354"/>
      <c r="J16" s="351"/>
      <c r="K16" s="354"/>
      <c r="L16" s="351"/>
      <c r="M16" s="354"/>
      <c r="N16" s="351"/>
      <c r="O16" s="354"/>
      <c r="P16" s="396">
        <f t="shared" si="0"/>
        <v>0</v>
      </c>
      <c r="Q16" s="397">
        <f t="shared" si="1"/>
        <v>0</v>
      </c>
      <c r="R16" s="348"/>
      <c r="S16" s="249"/>
      <c r="T16" s="249"/>
      <c r="U16" s="249"/>
    </row>
    <row r="17" spans="1:21" ht="15.75" x14ac:dyDescent="0.25">
      <c r="A17" s="762"/>
      <c r="B17" s="762"/>
      <c r="C17" s="325"/>
      <c r="D17" s="325"/>
      <c r="E17" s="325"/>
      <c r="F17" s="325"/>
      <c r="G17" s="73"/>
      <c r="H17" s="351"/>
      <c r="I17" s="354"/>
      <c r="J17" s="351"/>
      <c r="K17" s="354"/>
      <c r="L17" s="351"/>
      <c r="M17" s="354"/>
      <c r="N17" s="351"/>
      <c r="O17" s="354"/>
      <c r="P17" s="396">
        <f t="shared" si="0"/>
        <v>0</v>
      </c>
      <c r="Q17" s="397">
        <f t="shared" si="1"/>
        <v>0</v>
      </c>
      <c r="R17" s="348"/>
      <c r="S17" s="249"/>
      <c r="T17" s="249"/>
      <c r="U17" s="249"/>
    </row>
    <row r="18" spans="1:21" ht="15.75" x14ac:dyDescent="0.25">
      <c r="A18" s="762"/>
      <c r="B18" s="762"/>
      <c r="C18" s="325"/>
      <c r="D18" s="325"/>
      <c r="E18" s="325"/>
      <c r="F18" s="325"/>
      <c r="G18" s="73"/>
      <c r="H18" s="351"/>
      <c r="I18" s="354"/>
      <c r="J18" s="351"/>
      <c r="K18" s="354"/>
      <c r="L18" s="351"/>
      <c r="M18" s="354"/>
      <c r="N18" s="351"/>
      <c r="O18" s="354"/>
      <c r="P18" s="396">
        <f t="shared" si="0"/>
        <v>0</v>
      </c>
      <c r="Q18" s="397">
        <f t="shared" si="1"/>
        <v>0</v>
      </c>
      <c r="R18" s="348"/>
      <c r="S18" s="249"/>
      <c r="T18" s="249"/>
      <c r="U18" s="249"/>
    </row>
    <row r="19" spans="1:21" ht="15.75" x14ac:dyDescent="0.25">
      <c r="A19" s="762"/>
      <c r="B19" s="762"/>
      <c r="C19" s="325"/>
      <c r="D19" s="325"/>
      <c r="E19" s="325"/>
      <c r="F19" s="325"/>
      <c r="G19" s="73"/>
      <c r="H19" s="351"/>
      <c r="I19" s="354"/>
      <c r="J19" s="351"/>
      <c r="K19" s="354"/>
      <c r="L19" s="351"/>
      <c r="M19" s="354"/>
      <c r="N19" s="351"/>
      <c r="O19" s="354"/>
      <c r="P19" s="396">
        <f t="shared" si="0"/>
        <v>0</v>
      </c>
      <c r="Q19" s="397">
        <f t="shared" si="1"/>
        <v>0</v>
      </c>
      <c r="R19" s="348"/>
      <c r="S19" s="249"/>
      <c r="T19" s="249"/>
      <c r="U19" s="249"/>
    </row>
    <row r="20" spans="1:21" ht="15.75" x14ac:dyDescent="0.25">
      <c r="A20" s="762"/>
      <c r="B20" s="762" t="s">
        <v>1399</v>
      </c>
      <c r="C20" s="325"/>
      <c r="D20" s="325"/>
      <c r="E20" s="325"/>
      <c r="F20" s="325"/>
      <c r="G20" s="73"/>
      <c r="H20" s="351"/>
      <c r="I20" s="354"/>
      <c r="J20" s="351"/>
      <c r="K20" s="354"/>
      <c r="L20" s="351"/>
      <c r="M20" s="354"/>
      <c r="N20" s="351"/>
      <c r="O20" s="354"/>
      <c r="P20" s="396">
        <f t="shared" si="0"/>
        <v>0</v>
      </c>
      <c r="Q20" s="397">
        <f t="shared" si="1"/>
        <v>0</v>
      </c>
      <c r="R20" s="348"/>
      <c r="S20" s="249"/>
      <c r="T20" s="249"/>
      <c r="U20" s="249"/>
    </row>
    <row r="21" spans="1:21" ht="15.75" x14ac:dyDescent="0.25">
      <c r="A21" s="762"/>
      <c r="B21" s="762"/>
      <c r="C21" s="325"/>
      <c r="D21" s="325"/>
      <c r="E21" s="325"/>
      <c r="F21" s="325"/>
      <c r="G21" s="73"/>
      <c r="H21" s="351"/>
      <c r="I21" s="354"/>
      <c r="J21" s="351"/>
      <c r="K21" s="354"/>
      <c r="L21" s="351"/>
      <c r="M21" s="354"/>
      <c r="N21" s="351"/>
      <c r="O21" s="354"/>
      <c r="P21" s="396">
        <f t="shared" si="0"/>
        <v>0</v>
      </c>
      <c r="Q21" s="397">
        <f t="shared" si="1"/>
        <v>0</v>
      </c>
      <c r="R21" s="348"/>
      <c r="S21" s="249"/>
      <c r="T21" s="249"/>
      <c r="U21" s="249"/>
    </row>
    <row r="22" spans="1:21" ht="15.75" x14ac:dyDescent="0.25">
      <c r="A22" s="762"/>
      <c r="B22" s="762"/>
      <c r="C22" s="325"/>
      <c r="D22" s="325"/>
      <c r="E22" s="325"/>
      <c r="F22" s="325"/>
      <c r="G22" s="73"/>
      <c r="H22" s="351"/>
      <c r="I22" s="354"/>
      <c r="J22" s="351"/>
      <c r="K22" s="354"/>
      <c r="L22" s="351"/>
      <c r="M22" s="354"/>
      <c r="N22" s="351"/>
      <c r="O22" s="354"/>
      <c r="P22" s="396">
        <f t="shared" si="0"/>
        <v>0</v>
      </c>
      <c r="Q22" s="397">
        <f t="shared" si="1"/>
        <v>0</v>
      </c>
      <c r="R22" s="348"/>
      <c r="S22" s="249"/>
      <c r="T22" s="249"/>
      <c r="U22" s="249"/>
    </row>
    <row r="23" spans="1:21" ht="15.75" x14ac:dyDescent="0.25">
      <c r="A23" s="762"/>
      <c r="B23" s="762"/>
      <c r="C23" s="325"/>
      <c r="D23" s="325"/>
      <c r="E23" s="325"/>
      <c r="F23" s="325"/>
      <c r="G23" s="73"/>
      <c r="H23" s="351"/>
      <c r="I23" s="354"/>
      <c r="J23" s="351"/>
      <c r="K23" s="354"/>
      <c r="L23" s="351"/>
      <c r="M23" s="354"/>
      <c r="N23" s="351"/>
      <c r="O23" s="354"/>
      <c r="P23" s="396">
        <f t="shared" si="0"/>
        <v>0</v>
      </c>
      <c r="Q23" s="397">
        <f t="shared" si="1"/>
        <v>0</v>
      </c>
      <c r="R23" s="348"/>
      <c r="S23" s="249"/>
      <c r="T23" s="249"/>
      <c r="U23" s="249"/>
    </row>
    <row r="24" spans="1:21" ht="157.5" x14ac:dyDescent="0.25">
      <c r="A24" s="762"/>
      <c r="B24" s="762"/>
      <c r="C24" s="74" t="s">
        <v>1598</v>
      </c>
      <c r="D24" s="73" t="s">
        <v>2423</v>
      </c>
      <c r="E24" s="73" t="s">
        <v>2424</v>
      </c>
      <c r="F24" s="674" t="s">
        <v>2428</v>
      </c>
      <c r="G24" s="618" t="s">
        <v>2422</v>
      </c>
      <c r="H24" s="351"/>
      <c r="I24" s="354"/>
      <c r="J24" s="357">
        <v>0.33</v>
      </c>
      <c r="K24" s="354">
        <f>+'5. ACTIVIDADES ESPECIALES'!D510*'6. Gestión del Conocimiento'!J24</f>
        <v>9900</v>
      </c>
      <c r="L24" s="357">
        <v>0.33</v>
      </c>
      <c r="M24" s="354">
        <f>+'5. ACTIVIDADES ESPECIALES'!D510*'6. Gestión del Conocimiento'!L24</f>
        <v>9900</v>
      </c>
      <c r="N24" s="357">
        <v>0.34</v>
      </c>
      <c r="O24" s="354">
        <f>+'5. ACTIVIDADES ESPECIALES'!D510*'6. Gestión del Conocimiento'!N24</f>
        <v>10200</v>
      </c>
      <c r="P24" s="396">
        <f t="shared" si="0"/>
        <v>1</v>
      </c>
      <c r="Q24" s="397">
        <f t="shared" si="1"/>
        <v>30000</v>
      </c>
      <c r="R24" s="531" t="s">
        <v>2425</v>
      </c>
      <c r="S24" s="249" t="s">
        <v>2426</v>
      </c>
      <c r="T24" s="249" t="s">
        <v>2427</v>
      </c>
      <c r="U24" s="249" t="s">
        <v>2256</v>
      </c>
    </row>
    <row r="25" spans="1:21" ht="15.75" x14ac:dyDescent="0.25">
      <c r="A25" s="762"/>
      <c r="B25" s="762"/>
      <c r="C25" s="74"/>
      <c r="D25" s="74"/>
      <c r="E25" s="325"/>
      <c r="F25" s="325"/>
      <c r="G25" s="73"/>
      <c r="H25" s="351"/>
      <c r="I25" s="354"/>
      <c r="J25" s="351"/>
      <c r="K25" s="354"/>
      <c r="L25" s="351"/>
      <c r="M25" s="354"/>
      <c r="N25" s="351"/>
      <c r="O25" s="354"/>
      <c r="P25" s="396">
        <f t="shared" si="0"/>
        <v>0</v>
      </c>
      <c r="Q25" s="397">
        <f t="shared" si="1"/>
        <v>0</v>
      </c>
      <c r="R25" s="348"/>
      <c r="S25" s="249"/>
      <c r="T25" s="249"/>
      <c r="U25" s="249"/>
    </row>
    <row r="26" spans="1:21" ht="15.75" x14ac:dyDescent="0.25">
      <c r="A26" s="762"/>
      <c r="B26" s="762"/>
      <c r="C26" s="325"/>
      <c r="D26" s="325"/>
      <c r="E26" s="325"/>
      <c r="F26" s="325"/>
      <c r="G26" s="73"/>
      <c r="H26" s="351"/>
      <c r="I26" s="354"/>
      <c r="J26" s="351"/>
      <c r="K26" s="354"/>
      <c r="L26" s="351"/>
      <c r="M26" s="354"/>
      <c r="N26" s="351"/>
      <c r="O26" s="354"/>
      <c r="P26" s="396">
        <f t="shared" si="0"/>
        <v>0</v>
      </c>
      <c r="Q26" s="397">
        <f t="shared" si="1"/>
        <v>0</v>
      </c>
      <c r="R26" s="348"/>
      <c r="S26" s="249"/>
      <c r="T26" s="249"/>
      <c r="U26" s="249"/>
    </row>
    <row r="27" spans="1:21" s="285" customFormat="1" ht="15.75" x14ac:dyDescent="0.2">
      <c r="A27" s="297"/>
      <c r="B27" s="298"/>
      <c r="C27" s="297" t="s">
        <v>113</v>
      </c>
      <c r="D27" s="298"/>
      <c r="E27" s="298"/>
      <c r="F27" s="298"/>
      <c r="G27" s="299"/>
      <c r="H27" s="263">
        <f t="shared" ref="H27:Q27" si="2">SUM(H8:H26)</f>
        <v>0</v>
      </c>
      <c r="I27" s="232">
        <f t="shared" si="2"/>
        <v>0</v>
      </c>
      <c r="J27" s="263">
        <f t="shared" si="2"/>
        <v>0.33</v>
      </c>
      <c r="K27" s="232">
        <f t="shared" si="2"/>
        <v>9900</v>
      </c>
      <c r="L27" s="263">
        <f t="shared" si="2"/>
        <v>0.33</v>
      </c>
      <c r="M27" s="232">
        <f t="shared" si="2"/>
        <v>9900</v>
      </c>
      <c r="N27" s="263">
        <f t="shared" si="2"/>
        <v>0.34</v>
      </c>
      <c r="O27" s="232">
        <f t="shared" si="2"/>
        <v>10200</v>
      </c>
      <c r="P27" s="232">
        <f t="shared" si="2"/>
        <v>1</v>
      </c>
      <c r="Q27" s="232">
        <f t="shared" si="2"/>
        <v>30000</v>
      </c>
      <c r="R27" s="263"/>
      <c r="S27" s="263"/>
      <c r="T27" s="263"/>
      <c r="U27" s="263"/>
    </row>
    <row r="28" spans="1:21" x14ac:dyDescent="0.25">
      <c r="I28"/>
      <c r="K28"/>
      <c r="M28"/>
      <c r="O28"/>
      <c r="Q28"/>
    </row>
    <row r="29" spans="1:21" x14ac:dyDescent="0.25">
      <c r="I29"/>
      <c r="K29"/>
      <c r="M29"/>
      <c r="O29"/>
      <c r="Q29"/>
    </row>
    <row r="30" spans="1:21" x14ac:dyDescent="0.25">
      <c r="C30" s="464"/>
      <c r="I30"/>
      <c r="K30"/>
      <c r="M30"/>
      <c r="O30"/>
      <c r="Q30"/>
    </row>
    <row r="31" spans="1:21" x14ac:dyDescent="0.25">
      <c r="C31" s="464"/>
      <c r="I31"/>
      <c r="K31"/>
      <c r="M31"/>
      <c r="O31"/>
      <c r="Q31"/>
    </row>
    <row r="32" spans="1:21" x14ac:dyDescent="0.25">
      <c r="C32" s="464"/>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zoomScale="60" zoomScaleNormal="60" workbookViewId="0">
      <pane ySplit="5" topLeftCell="A8" activePane="bottomLeft" state="frozen"/>
      <selection activeCell="R5" sqref="R5"/>
      <selection pane="bottomLeft" activeCell="D9" sqref="D9"/>
    </sheetView>
  </sheetViews>
  <sheetFormatPr baseColWidth="10" defaultRowHeight="15" x14ac:dyDescent="0.25"/>
  <cols>
    <col min="1" max="2" width="35.71093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3" t="s">
        <v>1599</v>
      </c>
      <c r="C1" s="513" t="s">
        <v>1600</v>
      </c>
      <c r="D1" s="513" t="s">
        <v>1601</v>
      </c>
      <c r="E1" s="513" t="s">
        <v>1602</v>
      </c>
      <c r="F1" s="283"/>
      <c r="G1" s="283"/>
      <c r="H1" s="283" t="s">
        <v>478</v>
      </c>
      <c r="J1" s="283"/>
      <c r="K1" s="283"/>
      <c r="L1" s="283"/>
      <c r="M1" s="283"/>
      <c r="N1" s="283"/>
      <c r="O1" s="283"/>
      <c r="P1" s="283"/>
      <c r="Q1" s="283"/>
      <c r="R1" s="283"/>
      <c r="S1" s="283"/>
      <c r="T1" s="283"/>
      <c r="U1" s="283"/>
      <c r="V1" s="283"/>
    </row>
    <row r="2" spans="1:22" x14ac:dyDescent="0.25">
      <c r="A2" s="268" t="s">
        <v>1339</v>
      </c>
      <c r="B2" s="268"/>
      <c r="C2" s="268"/>
      <c r="D2" s="268"/>
      <c r="E2" s="268"/>
      <c r="F2" s="268"/>
      <c r="G2" s="268"/>
      <c r="H2" s="268"/>
      <c r="I2" s="268"/>
      <c r="J2" s="268"/>
      <c r="K2" s="268"/>
      <c r="L2" s="268"/>
      <c r="M2" s="268"/>
      <c r="N2" s="268"/>
      <c r="O2" s="268"/>
      <c r="P2" s="268"/>
      <c r="Q2" s="268"/>
      <c r="R2" s="268"/>
      <c r="S2" s="268"/>
      <c r="T2" s="268"/>
      <c r="U2" s="268"/>
      <c r="V2" s="268"/>
    </row>
    <row r="3" spans="1:22" ht="15" customHeight="1" x14ac:dyDescent="0.25">
      <c r="A3" s="720" t="s">
        <v>96</v>
      </c>
      <c r="B3" s="722" t="s">
        <v>110</v>
      </c>
      <c r="C3" s="732" t="s">
        <v>1530</v>
      </c>
      <c r="D3" s="732" t="s">
        <v>1531</v>
      </c>
      <c r="E3" s="732" t="s">
        <v>86</v>
      </c>
      <c r="F3" s="732" t="s">
        <v>391</v>
      </c>
      <c r="G3" s="732" t="s">
        <v>87</v>
      </c>
      <c r="H3" s="735" t="s">
        <v>99</v>
      </c>
      <c r="I3" s="737"/>
      <c r="J3" s="737"/>
      <c r="K3" s="737"/>
      <c r="L3" s="737"/>
      <c r="M3" s="737"/>
      <c r="N3" s="737"/>
      <c r="O3" s="736"/>
      <c r="P3" s="741" t="s">
        <v>100</v>
      </c>
      <c r="Q3" s="742"/>
      <c r="R3" s="722" t="s">
        <v>101</v>
      </c>
      <c r="S3" s="722" t="s">
        <v>102</v>
      </c>
      <c r="T3" s="722" t="s">
        <v>109</v>
      </c>
      <c r="U3" s="722" t="s">
        <v>108</v>
      </c>
      <c r="V3" s="738" t="s">
        <v>88</v>
      </c>
    </row>
    <row r="4" spans="1:22" ht="15" customHeight="1" x14ac:dyDescent="0.25">
      <c r="A4" s="720"/>
      <c r="B4" s="720"/>
      <c r="C4" s="733"/>
      <c r="D4" s="733"/>
      <c r="E4" s="733"/>
      <c r="F4" s="733"/>
      <c r="G4" s="733"/>
      <c r="H4" s="735" t="s">
        <v>103</v>
      </c>
      <c r="I4" s="736"/>
      <c r="J4" s="735" t="s">
        <v>104</v>
      </c>
      <c r="K4" s="736"/>
      <c r="L4" s="735" t="s">
        <v>105</v>
      </c>
      <c r="M4" s="736"/>
      <c r="N4" s="735" t="s">
        <v>106</v>
      </c>
      <c r="O4" s="736"/>
      <c r="P4" s="743"/>
      <c r="Q4" s="744"/>
      <c r="R4" s="720"/>
      <c r="S4" s="720"/>
      <c r="T4" s="720"/>
      <c r="U4" s="720"/>
      <c r="V4" s="739"/>
    </row>
    <row r="5" spans="1:22" ht="25.5" x14ac:dyDescent="0.25">
      <c r="A5" s="721"/>
      <c r="B5" s="721"/>
      <c r="C5" s="734"/>
      <c r="D5" s="734"/>
      <c r="E5" s="734"/>
      <c r="F5" s="734"/>
      <c r="G5" s="734"/>
      <c r="H5" s="440" t="s">
        <v>107</v>
      </c>
      <c r="I5" s="440" t="s">
        <v>12</v>
      </c>
      <c r="J5" s="440" t="s">
        <v>107</v>
      </c>
      <c r="K5" s="440" t="s">
        <v>12</v>
      </c>
      <c r="L5" s="440" t="s">
        <v>107</v>
      </c>
      <c r="M5" s="440" t="s">
        <v>12</v>
      </c>
      <c r="N5" s="440" t="s">
        <v>107</v>
      </c>
      <c r="O5" s="440" t="s">
        <v>12</v>
      </c>
      <c r="P5" s="440" t="s">
        <v>107</v>
      </c>
      <c r="Q5" s="440" t="s">
        <v>12</v>
      </c>
      <c r="R5" s="721"/>
      <c r="S5" s="721"/>
      <c r="T5" s="721"/>
      <c r="U5" s="721"/>
      <c r="V5" s="740"/>
    </row>
    <row r="6" spans="1:22" s="365" customFormat="1" ht="15.75" x14ac:dyDescent="0.25">
      <c r="A6" s="441"/>
      <c r="B6" s="442"/>
      <c r="C6" s="443"/>
      <c r="D6" s="443"/>
      <c r="E6" s="443"/>
      <c r="F6" s="444"/>
      <c r="G6" s="443"/>
      <c r="H6" s="445"/>
      <c r="I6" s="445"/>
      <c r="J6" s="445"/>
      <c r="K6" s="445"/>
      <c r="L6" s="445"/>
      <c r="M6" s="445"/>
      <c r="N6" s="445"/>
      <c r="O6" s="445"/>
      <c r="P6" s="445"/>
      <c r="Q6" s="445"/>
      <c r="R6" s="446"/>
      <c r="S6" s="446"/>
      <c r="T6" s="446"/>
      <c r="U6" s="446"/>
      <c r="V6" s="447"/>
    </row>
    <row r="7" spans="1:22" ht="173.25" x14ac:dyDescent="0.25">
      <c r="A7" s="538" t="s">
        <v>1435</v>
      </c>
      <c r="B7" s="537" t="s">
        <v>1340</v>
      </c>
      <c r="C7" s="74" t="s">
        <v>1599</v>
      </c>
      <c r="D7" s="543" t="s">
        <v>1776</v>
      </c>
      <c r="E7" s="325" t="s">
        <v>1775</v>
      </c>
      <c r="F7" s="325" t="s">
        <v>1771</v>
      </c>
      <c r="G7" s="525" t="s">
        <v>1770</v>
      </c>
      <c r="H7" s="355">
        <v>1</v>
      </c>
      <c r="I7" s="356">
        <f>+'1. TALLERES SEMINARIOS'!D10</f>
        <v>3350</v>
      </c>
      <c r="J7" s="355"/>
      <c r="K7" s="356"/>
      <c r="L7" s="355"/>
      <c r="M7" s="356"/>
      <c r="N7" s="355"/>
      <c r="O7" s="356"/>
      <c r="P7" s="398">
        <f>H7+J7+L7+N7</f>
        <v>1</v>
      </c>
      <c r="Q7" s="399">
        <f>I7+K7+M7+O7</f>
        <v>3350</v>
      </c>
      <c r="R7" s="325"/>
      <c r="S7" s="542" t="s">
        <v>1772</v>
      </c>
      <c r="T7" s="325" t="s">
        <v>1777</v>
      </c>
      <c r="U7" s="325" t="s">
        <v>1773</v>
      </c>
      <c r="V7" s="325" t="s">
        <v>1774</v>
      </c>
    </row>
    <row r="8" spans="1:22" ht="409.5" x14ac:dyDescent="0.25">
      <c r="A8" s="537" t="s">
        <v>1436</v>
      </c>
      <c r="B8" s="537" t="s">
        <v>1437</v>
      </c>
      <c r="C8" s="74" t="s">
        <v>1600</v>
      </c>
      <c r="D8" s="74" t="s">
        <v>1784</v>
      </c>
      <c r="E8" s="345" t="s">
        <v>1721</v>
      </c>
      <c r="F8" s="325" t="s">
        <v>1779</v>
      </c>
      <c r="G8" s="276" t="s">
        <v>1778</v>
      </c>
      <c r="H8" s="355"/>
      <c r="I8" s="356"/>
      <c r="J8" s="355"/>
      <c r="K8" s="356"/>
      <c r="L8" s="355">
        <v>0.33</v>
      </c>
      <c r="M8" s="550"/>
      <c r="N8" s="355">
        <v>0.67</v>
      </c>
      <c r="O8" s="356"/>
      <c r="P8" s="398">
        <f t="shared" ref="P8" si="0">H8+J8+L8+N8</f>
        <v>1</v>
      </c>
      <c r="Q8" s="399">
        <f t="shared" ref="Q8" si="1">I8+K8+M8+O8</f>
        <v>0</v>
      </c>
      <c r="R8" s="325"/>
      <c r="S8" s="551" t="s">
        <v>1780</v>
      </c>
      <c r="T8" s="325" t="s">
        <v>1781</v>
      </c>
      <c r="U8" s="325" t="s">
        <v>1782</v>
      </c>
      <c r="V8" s="325" t="s">
        <v>1783</v>
      </c>
    </row>
    <row r="9" spans="1:22" ht="15.6" customHeight="1" x14ac:dyDescent="0.25">
      <c r="A9" s="291"/>
      <c r="B9" s="292"/>
      <c r="C9" s="291" t="s">
        <v>117</v>
      </c>
      <c r="D9" s="292"/>
      <c r="E9" s="292"/>
      <c r="F9" s="292"/>
      <c r="G9" s="293"/>
      <c r="H9" s="282">
        <f t="shared" ref="H9:Q9" si="2">SUM(H7:I8)</f>
        <v>3351</v>
      </c>
      <c r="I9" s="282">
        <f t="shared" si="2"/>
        <v>3350</v>
      </c>
      <c r="J9" s="282">
        <f t="shared" si="2"/>
        <v>0</v>
      </c>
      <c r="K9" s="282">
        <f t="shared" si="2"/>
        <v>0.33</v>
      </c>
      <c r="L9" s="282">
        <f t="shared" si="2"/>
        <v>0.33</v>
      </c>
      <c r="M9" s="282">
        <f t="shared" si="2"/>
        <v>0.67</v>
      </c>
      <c r="N9" s="282">
        <f t="shared" si="2"/>
        <v>0.67</v>
      </c>
      <c r="O9" s="282">
        <f t="shared" si="2"/>
        <v>2</v>
      </c>
      <c r="P9" s="282">
        <f t="shared" si="2"/>
        <v>3352</v>
      </c>
      <c r="Q9" s="282">
        <f t="shared" si="2"/>
        <v>3350</v>
      </c>
      <c r="R9" s="263"/>
      <c r="S9" s="263"/>
      <c r="T9" s="263"/>
      <c r="U9" s="263"/>
      <c r="V9" s="263"/>
    </row>
    <row r="13" spans="1:22" x14ac:dyDescent="0.25">
      <c r="C13" s="464"/>
    </row>
    <row r="14" spans="1:22" x14ac:dyDescent="0.25">
      <c r="C14" s="464"/>
    </row>
    <row r="15" spans="1:22" x14ac:dyDescent="0.25">
      <c r="C15" s="464"/>
    </row>
    <row r="16" spans="1:22" x14ac:dyDescent="0.25">
      <c r="C16" s="464"/>
    </row>
  </sheetData>
  <mergeCells count="18">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8">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3"/>
      <c r="C1" s="511" t="s">
        <v>1603</v>
      </c>
      <c r="D1" s="511"/>
      <c r="E1" s="283"/>
      <c r="F1" s="283"/>
      <c r="G1" s="283"/>
      <c r="H1" s="283" t="s">
        <v>1405</v>
      </c>
      <c r="K1" s="283"/>
      <c r="L1" s="283"/>
      <c r="M1" s="283"/>
      <c r="N1" s="283"/>
      <c r="O1" s="283"/>
      <c r="P1" s="283"/>
      <c r="Q1" s="283"/>
      <c r="R1" s="283"/>
      <c r="S1" s="283"/>
      <c r="T1" s="283"/>
      <c r="U1" s="283"/>
    </row>
    <row r="2" spans="1:21" ht="18.75" x14ac:dyDescent="0.25">
      <c r="A2" s="268" t="s">
        <v>1346</v>
      </c>
      <c r="B2" s="283"/>
      <c r="C2" s="283"/>
      <c r="D2" s="283"/>
      <c r="E2" s="283"/>
      <c r="F2" s="283"/>
      <c r="G2" s="283"/>
      <c r="H2" s="283"/>
      <c r="K2" s="283"/>
      <c r="L2" s="283"/>
      <c r="M2" s="283"/>
      <c r="N2" s="283"/>
      <c r="O2" s="283"/>
      <c r="P2" s="283"/>
      <c r="Q2" s="283"/>
      <c r="R2" s="283"/>
      <c r="S2" s="283"/>
      <c r="T2" s="283"/>
      <c r="U2" s="283"/>
    </row>
    <row r="3" spans="1:21" x14ac:dyDescent="0.25">
      <c r="A3" s="766" t="s">
        <v>1406</v>
      </c>
      <c r="B3" s="766"/>
      <c r="C3" s="766"/>
      <c r="D3" s="766"/>
      <c r="E3" s="766"/>
      <c r="F3" s="766"/>
      <c r="G3" s="766"/>
      <c r="H3" s="766"/>
      <c r="I3" s="766"/>
      <c r="J3" s="766"/>
      <c r="K3" s="766"/>
      <c r="L3" s="766"/>
      <c r="M3" s="766"/>
      <c r="N3" s="766"/>
      <c r="O3" s="766"/>
      <c r="P3" s="766"/>
      <c r="Q3" s="766"/>
      <c r="R3" s="766"/>
      <c r="S3" s="766"/>
      <c r="T3" s="766"/>
      <c r="U3" s="766"/>
    </row>
    <row r="4" spans="1:21" ht="1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102</v>
      </c>
      <c r="S4" s="722" t="s">
        <v>109</v>
      </c>
      <c r="T4" s="722" t="s">
        <v>108</v>
      </c>
      <c r="U4" s="738" t="s">
        <v>88</v>
      </c>
    </row>
    <row r="5" spans="1:21"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39"/>
    </row>
    <row r="6" spans="1:21" ht="25.5"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40"/>
    </row>
    <row r="7" spans="1:21" s="365" customFormat="1" ht="15.75" x14ac:dyDescent="0.25">
      <c r="A7" s="441"/>
      <c r="B7" s="442"/>
      <c r="C7" s="443"/>
      <c r="D7" s="443"/>
      <c r="E7" s="443"/>
      <c r="F7" s="444"/>
      <c r="G7" s="443"/>
      <c r="H7" s="445"/>
      <c r="I7" s="445"/>
      <c r="J7" s="445"/>
      <c r="K7" s="445"/>
      <c r="L7" s="445"/>
      <c r="M7" s="445"/>
      <c r="N7" s="445"/>
      <c r="O7" s="445"/>
      <c r="P7" s="445"/>
      <c r="Q7" s="445"/>
      <c r="R7" s="446"/>
      <c r="S7" s="446"/>
      <c r="T7" s="446"/>
      <c r="U7" s="447"/>
    </row>
    <row r="8" spans="1:21" ht="15.75" customHeight="1" x14ac:dyDescent="0.25">
      <c r="A8" s="763" t="s">
        <v>1406</v>
      </c>
      <c r="B8" s="763" t="s">
        <v>1407</v>
      </c>
      <c r="C8" s="279"/>
      <c r="D8" s="495"/>
      <c r="E8" s="279"/>
      <c r="F8" s="279"/>
      <c r="G8" s="280"/>
      <c r="H8" s="280"/>
      <c r="I8" s="358"/>
      <c r="J8" s="280"/>
      <c r="K8" s="358"/>
      <c r="L8" s="280"/>
      <c r="M8" s="358"/>
      <c r="N8" s="280"/>
      <c r="O8" s="358"/>
      <c r="P8" s="400">
        <f t="shared" ref="P8:Q8" si="0">H8+J8+L8+N8</f>
        <v>0</v>
      </c>
      <c r="Q8" s="401">
        <f t="shared" si="0"/>
        <v>0</v>
      </c>
      <c r="R8" s="280"/>
      <c r="S8" s="280"/>
      <c r="T8" s="280"/>
      <c r="U8" s="280"/>
    </row>
    <row r="9" spans="1:21" ht="15.75" x14ac:dyDescent="0.25">
      <c r="A9" s="764"/>
      <c r="B9" s="764"/>
      <c r="C9" s="279"/>
      <c r="D9" s="495"/>
      <c r="E9" s="279"/>
      <c r="F9" s="279"/>
      <c r="G9" s="280"/>
      <c r="H9" s="280"/>
      <c r="I9" s="358"/>
      <c r="J9" s="280"/>
      <c r="K9" s="358"/>
      <c r="L9" s="280"/>
      <c r="M9" s="358"/>
      <c r="N9" s="280"/>
      <c r="O9" s="358"/>
      <c r="P9" s="400">
        <f t="shared" ref="P9:P20" si="1">H9+J9+L9+N9</f>
        <v>0</v>
      </c>
      <c r="Q9" s="401">
        <f t="shared" ref="Q9:Q20" si="2">I9+K9+M9+O9</f>
        <v>0</v>
      </c>
      <c r="R9" s="280"/>
      <c r="S9" s="280"/>
      <c r="T9" s="280"/>
      <c r="U9" s="280"/>
    </row>
    <row r="10" spans="1:21" ht="15.75" x14ac:dyDescent="0.25">
      <c r="A10" s="764"/>
      <c r="B10" s="764"/>
      <c r="C10" s="279"/>
      <c r="D10" s="495"/>
      <c r="E10" s="279"/>
      <c r="F10" s="279"/>
      <c r="G10" s="280"/>
      <c r="H10" s="280"/>
      <c r="I10" s="358"/>
      <c r="J10" s="280"/>
      <c r="K10" s="358"/>
      <c r="L10" s="280"/>
      <c r="M10" s="358"/>
      <c r="N10" s="280"/>
      <c r="O10" s="358"/>
      <c r="P10" s="400">
        <f t="shared" si="1"/>
        <v>0</v>
      </c>
      <c r="Q10" s="401">
        <f t="shared" si="2"/>
        <v>0</v>
      </c>
      <c r="R10" s="280"/>
      <c r="S10" s="280"/>
      <c r="T10" s="280"/>
      <c r="U10" s="280"/>
    </row>
    <row r="11" spans="1:21" ht="15.75" x14ac:dyDescent="0.25">
      <c r="A11" s="764"/>
      <c r="B11" s="764"/>
      <c r="C11" s="279"/>
      <c r="D11" s="495"/>
      <c r="E11" s="279"/>
      <c r="F11" s="279"/>
      <c r="G11" s="280"/>
      <c r="H11" s="280"/>
      <c r="I11" s="358"/>
      <c r="J11" s="280"/>
      <c r="K11" s="358"/>
      <c r="L11" s="280"/>
      <c r="M11" s="358"/>
      <c r="N11" s="280"/>
      <c r="O11" s="358"/>
      <c r="P11" s="400">
        <f t="shared" si="1"/>
        <v>0</v>
      </c>
      <c r="Q11" s="401">
        <f t="shared" si="2"/>
        <v>0</v>
      </c>
      <c r="R11" s="280"/>
      <c r="S11" s="280"/>
      <c r="T11" s="280"/>
      <c r="U11" s="280"/>
    </row>
    <row r="12" spans="1:21" ht="15.75" x14ac:dyDescent="0.25">
      <c r="A12" s="764"/>
      <c r="B12" s="764"/>
      <c r="C12" s="279"/>
      <c r="D12" s="495"/>
      <c r="E12" s="279"/>
      <c r="F12" s="279"/>
      <c r="G12" s="280"/>
      <c r="H12" s="280"/>
      <c r="I12" s="358"/>
      <c r="J12" s="280"/>
      <c r="K12" s="358"/>
      <c r="L12" s="280"/>
      <c r="M12" s="358"/>
      <c r="N12" s="280"/>
      <c r="O12" s="358"/>
      <c r="P12" s="400">
        <f t="shared" si="1"/>
        <v>0</v>
      </c>
      <c r="Q12" s="401">
        <f t="shared" si="2"/>
        <v>0</v>
      </c>
      <c r="R12" s="280"/>
      <c r="S12" s="280"/>
      <c r="T12" s="280"/>
      <c r="U12" s="280"/>
    </row>
    <row r="13" spans="1:21" s="365" customFormat="1" ht="15.75" x14ac:dyDescent="0.25">
      <c r="A13" s="764"/>
      <c r="B13" s="764"/>
      <c r="C13" s="406"/>
      <c r="D13" s="495"/>
      <c r="E13" s="406"/>
      <c r="F13" s="406"/>
      <c r="G13" s="280"/>
      <c r="H13" s="280"/>
      <c r="I13" s="358"/>
      <c r="J13" s="280"/>
      <c r="K13" s="358"/>
      <c r="L13" s="280"/>
      <c r="M13" s="358"/>
      <c r="N13" s="280"/>
      <c r="O13" s="358"/>
      <c r="P13" s="400">
        <f t="shared" ref="P13" si="3">H13+J13+L13+N13</f>
        <v>0</v>
      </c>
      <c r="Q13" s="401">
        <f t="shared" ref="Q13" si="4">I13+K13+M13+O13</f>
        <v>0</v>
      </c>
      <c r="R13" s="280"/>
      <c r="S13" s="280"/>
      <c r="T13" s="280"/>
      <c r="U13" s="280"/>
    </row>
    <row r="14" spans="1:21" ht="15.75" x14ac:dyDescent="0.25">
      <c r="A14" s="764"/>
      <c r="B14" s="764"/>
      <c r="C14" s="279"/>
      <c r="D14" s="495"/>
      <c r="E14" s="279"/>
      <c r="F14" s="279"/>
      <c r="G14" s="280"/>
      <c r="H14" s="280"/>
      <c r="I14" s="358"/>
      <c r="J14" s="280"/>
      <c r="K14" s="358"/>
      <c r="L14" s="280"/>
      <c r="M14" s="358"/>
      <c r="N14" s="280"/>
      <c r="O14" s="358"/>
      <c r="P14" s="400">
        <f t="shared" si="1"/>
        <v>0</v>
      </c>
      <c r="Q14" s="401">
        <f t="shared" si="2"/>
        <v>0</v>
      </c>
      <c r="R14" s="280"/>
      <c r="S14" s="280"/>
      <c r="T14" s="280"/>
      <c r="U14" s="359"/>
    </row>
    <row r="15" spans="1:21" ht="15.75" customHeight="1" x14ac:dyDescent="0.25">
      <c r="A15" s="764"/>
      <c r="B15" s="764"/>
      <c r="C15" s="279"/>
      <c r="D15" s="495"/>
      <c r="E15" s="279"/>
      <c r="F15" s="279"/>
      <c r="G15" s="280"/>
      <c r="H15" s="280"/>
      <c r="I15" s="358"/>
      <c r="J15" s="280"/>
      <c r="K15" s="358"/>
      <c r="L15" s="360"/>
      <c r="M15" s="358"/>
      <c r="N15" s="280"/>
      <c r="O15" s="358"/>
      <c r="P15" s="400">
        <f t="shared" si="1"/>
        <v>0</v>
      </c>
      <c r="Q15" s="401">
        <f t="shared" si="2"/>
        <v>0</v>
      </c>
      <c r="R15" s="280"/>
      <c r="S15" s="280"/>
      <c r="T15" s="280"/>
      <c r="U15" s="280"/>
    </row>
    <row r="16" spans="1:21" ht="15.75" x14ac:dyDescent="0.25">
      <c r="A16" s="764"/>
      <c r="B16" s="764"/>
      <c r="C16" s="279"/>
      <c r="D16" s="495"/>
      <c r="E16" s="279"/>
      <c r="F16" s="279"/>
      <c r="G16" s="280"/>
      <c r="H16" s="280"/>
      <c r="I16" s="358"/>
      <c r="J16" s="280"/>
      <c r="K16" s="358"/>
      <c r="L16" s="360"/>
      <c r="M16" s="358"/>
      <c r="N16" s="280"/>
      <c r="O16" s="358"/>
      <c r="P16" s="400">
        <f t="shared" si="1"/>
        <v>0</v>
      </c>
      <c r="Q16" s="401">
        <f t="shared" si="2"/>
        <v>0</v>
      </c>
      <c r="R16" s="280"/>
      <c r="S16" s="280"/>
      <c r="T16" s="280"/>
      <c r="U16" s="280"/>
    </row>
    <row r="17" spans="1:21" ht="15.75" x14ac:dyDescent="0.25">
      <c r="A17" s="764"/>
      <c r="B17" s="764"/>
      <c r="C17" s="279"/>
      <c r="D17" s="495"/>
      <c r="E17" s="279"/>
      <c r="F17" s="279"/>
      <c r="G17" s="280"/>
      <c r="H17" s="280"/>
      <c r="I17" s="358"/>
      <c r="J17" s="280"/>
      <c r="K17" s="358"/>
      <c r="L17" s="360"/>
      <c r="M17" s="358"/>
      <c r="N17" s="280"/>
      <c r="O17" s="358"/>
      <c r="P17" s="400">
        <f t="shared" si="1"/>
        <v>0</v>
      </c>
      <c r="Q17" s="401">
        <f t="shared" si="2"/>
        <v>0</v>
      </c>
      <c r="R17" s="280"/>
      <c r="S17" s="280"/>
      <c r="T17" s="280"/>
      <c r="U17" s="280"/>
    </row>
    <row r="18" spans="1:21" ht="15.75" x14ac:dyDescent="0.25">
      <c r="A18" s="764"/>
      <c r="B18" s="764"/>
      <c r="C18" s="279"/>
      <c r="D18" s="495"/>
      <c r="E18" s="279"/>
      <c r="F18" s="279"/>
      <c r="G18" s="280"/>
      <c r="H18" s="280"/>
      <c r="I18" s="358"/>
      <c r="J18" s="280"/>
      <c r="K18" s="358"/>
      <c r="L18" s="360"/>
      <c r="M18" s="358"/>
      <c r="N18" s="280"/>
      <c r="O18" s="358"/>
      <c r="P18" s="400">
        <f t="shared" si="1"/>
        <v>0</v>
      </c>
      <c r="Q18" s="401">
        <f t="shared" si="2"/>
        <v>0</v>
      </c>
      <c r="R18" s="280"/>
      <c r="S18" s="280"/>
      <c r="T18" s="280"/>
      <c r="U18" s="280"/>
    </row>
    <row r="19" spans="1:21" ht="15.75" x14ac:dyDescent="0.25">
      <c r="A19" s="764"/>
      <c r="B19" s="764"/>
      <c r="C19" s="279"/>
      <c r="D19" s="495"/>
      <c r="E19" s="279"/>
      <c r="F19" s="279"/>
      <c r="G19" s="280"/>
      <c r="H19" s="280"/>
      <c r="I19" s="358"/>
      <c r="J19" s="280"/>
      <c r="K19" s="358"/>
      <c r="L19" s="280"/>
      <c r="M19" s="358"/>
      <c r="N19" s="280"/>
      <c r="O19" s="358"/>
      <c r="P19" s="400">
        <f t="shared" si="1"/>
        <v>0</v>
      </c>
      <c r="Q19" s="401">
        <f t="shared" si="2"/>
        <v>0</v>
      </c>
      <c r="R19" s="280"/>
      <c r="S19" s="280"/>
      <c r="T19" s="280"/>
      <c r="U19" s="361"/>
    </row>
    <row r="20" spans="1:21" ht="15.75" x14ac:dyDescent="0.25">
      <c r="A20" s="765"/>
      <c r="B20" s="765"/>
      <c r="C20" s="279"/>
      <c r="D20" s="495"/>
      <c r="E20" s="279"/>
      <c r="F20" s="279"/>
      <c r="G20" s="280"/>
      <c r="H20" s="280"/>
      <c r="I20" s="358"/>
      <c r="J20" s="280"/>
      <c r="K20" s="358"/>
      <c r="L20" s="280"/>
      <c r="M20" s="358"/>
      <c r="N20" s="280"/>
      <c r="O20" s="358"/>
      <c r="P20" s="400">
        <f t="shared" si="1"/>
        <v>0</v>
      </c>
      <c r="Q20" s="401">
        <f t="shared" si="2"/>
        <v>0</v>
      </c>
      <c r="R20" s="280"/>
      <c r="S20" s="280"/>
      <c r="T20" s="280"/>
      <c r="U20" s="280"/>
    </row>
    <row r="21" spans="1:21" ht="15.75" x14ac:dyDescent="0.25">
      <c r="A21" s="291"/>
      <c r="B21" s="292"/>
      <c r="C21" s="291" t="s">
        <v>1404</v>
      </c>
      <c r="D21" s="292"/>
      <c r="E21" s="292"/>
      <c r="F21" s="292"/>
      <c r="G21" s="293"/>
      <c r="H21" s="281">
        <f t="shared" ref="H21:Q21" si="5">SUM(H8:H20)</f>
        <v>0</v>
      </c>
      <c r="I21" s="282">
        <f t="shared" si="5"/>
        <v>0</v>
      </c>
      <c r="J21" s="281">
        <f t="shared" si="5"/>
        <v>0</v>
      </c>
      <c r="K21" s="282">
        <f t="shared" si="5"/>
        <v>0</v>
      </c>
      <c r="L21" s="281">
        <f t="shared" si="5"/>
        <v>0</v>
      </c>
      <c r="M21" s="282">
        <f t="shared" si="5"/>
        <v>0</v>
      </c>
      <c r="N21" s="281">
        <f t="shared" si="5"/>
        <v>0</v>
      </c>
      <c r="O21" s="282">
        <f t="shared" si="5"/>
        <v>0</v>
      </c>
      <c r="P21" s="282">
        <f t="shared" si="5"/>
        <v>0</v>
      </c>
      <c r="Q21" s="282">
        <f t="shared" si="5"/>
        <v>0</v>
      </c>
      <c r="R21" s="262"/>
      <c r="S21" s="262"/>
      <c r="T21" s="262"/>
      <c r="U21" s="262"/>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zoomScale="90" zoomScaleNormal="90" workbookViewId="0">
      <selection activeCell="C6" sqref="C6:C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712" t="s">
        <v>1368</v>
      </c>
      <c r="I2" s="712"/>
    </row>
    <row r="3" spans="2:11" ht="19.5" thickBot="1" x14ac:dyDescent="0.3">
      <c r="B3" s="81" t="s">
        <v>21</v>
      </c>
      <c r="C3" s="81" t="s">
        <v>390</v>
      </c>
      <c r="H3" s="422" t="s">
        <v>389</v>
      </c>
      <c r="I3" s="423" t="s">
        <v>390</v>
      </c>
    </row>
    <row r="4" spans="2:11" ht="18.75" x14ac:dyDescent="0.25">
      <c r="B4" s="82" t="s">
        <v>121</v>
      </c>
      <c r="C4" s="201">
        <f>'1. TALLERES SEMINARIOS'!D5</f>
        <v>63920</v>
      </c>
      <c r="H4" s="415" t="s">
        <v>1356</v>
      </c>
      <c r="I4" s="418">
        <f>'1. Desarrollo e Innov. Curricu.'!Q28</f>
        <v>21600</v>
      </c>
    </row>
    <row r="5" spans="2:11" ht="18.75" x14ac:dyDescent="0.25">
      <c r="B5" s="82" t="s">
        <v>414</v>
      </c>
      <c r="C5" s="201">
        <f>'2. CONTRATACION DE PERSONAL'!D5</f>
        <v>3504346.0649999999</v>
      </c>
      <c r="H5" s="416" t="s">
        <v>1358</v>
      </c>
      <c r="I5" s="419">
        <f>'2. Investigación Científica'!Q49</f>
        <v>180929.74924999999</v>
      </c>
    </row>
    <row r="6" spans="2:11" ht="18.75" x14ac:dyDescent="0.25">
      <c r="B6" s="82" t="s">
        <v>125</v>
      </c>
      <c r="C6" s="201">
        <f>'3. EQUIPO DE OFICINA'!D5</f>
        <v>475800</v>
      </c>
      <c r="H6" s="416" t="s">
        <v>470</v>
      </c>
      <c r="I6" s="419">
        <f>'3. Vinculación Univ. Sociedad'!Q62</f>
        <v>61970</v>
      </c>
    </row>
    <row r="7" spans="2:11" ht="19.5" thickBot="1" x14ac:dyDescent="0.3">
      <c r="B7" s="82" t="s">
        <v>415</v>
      </c>
      <c r="C7" s="201">
        <f>'4. EQUIPO TECNOLÓGICOS'!D5</f>
        <v>326600</v>
      </c>
      <c r="E7" s="426" t="s">
        <v>118</v>
      </c>
      <c r="F7" s="435" t="s">
        <v>1475</v>
      </c>
      <c r="H7" s="416" t="s">
        <v>1357</v>
      </c>
      <c r="I7" s="419">
        <f>'4. Docencia y Profesorado Univ.'!Q21</f>
        <v>42825</v>
      </c>
    </row>
    <row r="8" spans="2:11" ht="18.75" x14ac:dyDescent="0.25">
      <c r="B8" s="82" t="s">
        <v>126</v>
      </c>
      <c r="C8" s="201">
        <f>'5. ACTIVIDADES ESPECIALES'!D5</f>
        <v>5284873.2505517462</v>
      </c>
      <c r="E8" s="431" t="s">
        <v>1477</v>
      </c>
      <c r="F8" s="432">
        <f>Presupuesto!D566</f>
        <v>597300.74924999999</v>
      </c>
      <c r="H8" s="416" t="s">
        <v>1359</v>
      </c>
      <c r="I8" s="419">
        <f>'5. Estudiantes y Graduados'!Q68</f>
        <v>94900</v>
      </c>
    </row>
    <row r="9" spans="2:11" ht="19.5" thickBot="1" x14ac:dyDescent="0.3">
      <c r="B9" s="92" t="s">
        <v>385</v>
      </c>
      <c r="C9" s="83">
        <f>'6. Becas'!D5</f>
        <v>0</v>
      </c>
      <c r="E9" s="433" t="s">
        <v>1499</v>
      </c>
      <c r="F9" s="434">
        <f>Presupuesto!E566</f>
        <v>12820446.585301746</v>
      </c>
      <c r="H9" s="416" t="s">
        <v>471</v>
      </c>
      <c r="I9" s="419">
        <f>'6. Gestión del Conocimiento'!Q27</f>
        <v>30000</v>
      </c>
    </row>
    <row r="10" spans="2:11" ht="19.5" thickBot="1" x14ac:dyDescent="0.3">
      <c r="B10" s="92" t="s">
        <v>386</v>
      </c>
      <c r="C10" s="83">
        <f>'7. Infraestructura'!D5</f>
        <v>3812137.07</v>
      </c>
      <c r="E10" s="436" t="s">
        <v>1476</v>
      </c>
      <c r="F10" s="437">
        <f>Presupuesto!F566</f>
        <v>13417747.334551746</v>
      </c>
      <c r="G10" s="111"/>
      <c r="H10" s="416" t="s">
        <v>1360</v>
      </c>
      <c r="I10" s="420">
        <f>'7. Lo Esencial de la Reforma U.'!Q9</f>
        <v>3350</v>
      </c>
    </row>
    <row r="11" spans="2:11" ht="18.75" x14ac:dyDescent="0.25">
      <c r="B11" s="82" t="s">
        <v>417</v>
      </c>
      <c r="C11" s="83">
        <f>'8. Venta de Servicios'!D5</f>
        <v>0</v>
      </c>
      <c r="E11" s="438" t="s">
        <v>404</v>
      </c>
      <c r="F11" s="439">
        <f>Presupuesto!AR566</f>
        <v>13467676.385551747</v>
      </c>
      <c r="G11" s="111"/>
      <c r="H11" s="416" t="s">
        <v>1362</v>
      </c>
      <c r="I11" s="420">
        <f>'8. Cultura de Inno. Insti...'!Q21</f>
        <v>0</v>
      </c>
    </row>
    <row r="12" spans="2:11" ht="18.75" x14ac:dyDescent="0.25">
      <c r="B12" s="92"/>
      <c r="C12" s="83"/>
      <c r="F12" s="111"/>
      <c r="G12" s="111"/>
      <c r="H12" s="416" t="s">
        <v>1470</v>
      </c>
      <c r="I12" s="420">
        <f>'9. Asegura. de la Calid. y M'!Q36</f>
        <v>0</v>
      </c>
      <c r="K12" s="156"/>
    </row>
    <row r="13" spans="2:11" ht="24" thickBot="1" x14ac:dyDescent="0.3">
      <c r="B13" s="84" t="s">
        <v>124</v>
      </c>
      <c r="C13" s="430">
        <f>SUM(C4:C12)</f>
        <v>13467676.385551747</v>
      </c>
      <c r="F13" s="111"/>
      <c r="G13" s="111"/>
      <c r="H13" s="417" t="s">
        <v>1449</v>
      </c>
      <c r="I13" s="421">
        <f>'10. Posgrado'!Q43</f>
        <v>0</v>
      </c>
    </row>
    <row r="14" spans="2:11" ht="23.25" x14ac:dyDescent="0.25">
      <c r="B14" s="84"/>
      <c r="C14" s="85"/>
      <c r="F14" s="111"/>
      <c r="G14" s="111"/>
      <c r="H14" s="424" t="s">
        <v>124</v>
      </c>
      <c r="I14" s="425">
        <f>SUM(I4:I13)</f>
        <v>435574.74924999999</v>
      </c>
    </row>
    <row r="15" spans="2:11" ht="15.75" x14ac:dyDescent="0.25">
      <c r="F15" s="111"/>
      <c r="G15" s="111"/>
      <c r="H15" s="713"/>
      <c r="I15" s="713"/>
    </row>
    <row r="16" spans="2:11" ht="16.5" thickBot="1" x14ac:dyDescent="0.3">
      <c r="F16" s="111"/>
      <c r="G16" s="111"/>
      <c r="H16" s="714" t="s">
        <v>1370</v>
      </c>
      <c r="I16" s="714"/>
    </row>
    <row r="17" spans="2:15" ht="15.75" thickBot="1" x14ac:dyDescent="0.3">
      <c r="F17" s="111"/>
      <c r="G17" s="111"/>
      <c r="H17" s="426" t="s">
        <v>389</v>
      </c>
      <c r="I17" s="427" t="s">
        <v>390</v>
      </c>
      <c r="J17" s="196"/>
    </row>
    <row r="18" spans="2:15" x14ac:dyDescent="0.25">
      <c r="H18" s="479" t="s">
        <v>1363</v>
      </c>
      <c r="I18" s="480">
        <f>'11. Gestion Administrativa'!Q74</f>
        <v>12949617.585301744</v>
      </c>
      <c r="J18" s="196"/>
    </row>
    <row r="19" spans="2:15" x14ac:dyDescent="0.25">
      <c r="H19" s="481" t="s">
        <v>1364</v>
      </c>
      <c r="I19" s="482">
        <f>'12. Gestión del Talento Humano'!Q21</f>
        <v>0</v>
      </c>
      <c r="J19" s="196"/>
    </row>
    <row r="20" spans="2:15" x14ac:dyDescent="0.25">
      <c r="B20" s="473" t="s">
        <v>1497</v>
      </c>
      <c r="C20" s="474">
        <v>22.584900000000001</v>
      </c>
      <c r="D20" s="473" t="s">
        <v>1529</v>
      </c>
      <c r="E20" s="475"/>
      <c r="H20" s="481" t="s">
        <v>1365</v>
      </c>
      <c r="I20" s="482">
        <f>'13. Gestión Académica'!Q21</f>
        <v>0</v>
      </c>
      <c r="J20" s="196"/>
    </row>
    <row r="21" spans="2:15" x14ac:dyDescent="0.25">
      <c r="H21" s="481" t="s">
        <v>1366</v>
      </c>
      <c r="I21" s="482">
        <f>'14. Internacional... de la E.S.'!Q29</f>
        <v>61059.050999999999</v>
      </c>
      <c r="J21" s="196"/>
    </row>
    <row r="22" spans="2:15" x14ac:dyDescent="0.25">
      <c r="H22" s="483" t="s">
        <v>1367</v>
      </c>
      <c r="I22" s="484">
        <f>'15. Gobernabilidad y Proceso...'!Q29</f>
        <v>0</v>
      </c>
      <c r="J22" s="196"/>
    </row>
    <row r="23" spans="2:15" x14ac:dyDescent="0.25">
      <c r="H23" s="485" t="s">
        <v>1471</v>
      </c>
      <c r="I23" s="486">
        <f>'16. Desa. del Sistema Educ.Sup.'!Q70</f>
        <v>0</v>
      </c>
      <c r="J23" s="196"/>
    </row>
    <row r="24" spans="2:15" s="465" customFormat="1" ht="15.75" thickBot="1" x14ac:dyDescent="0.3">
      <c r="H24" s="487" t="s">
        <v>1506</v>
      </c>
      <c r="I24" s="488">
        <f>'17. Gestión TIC'!Q74</f>
        <v>21425</v>
      </c>
      <c r="J24" s="196"/>
    </row>
    <row r="25" spans="2:15" ht="15.75" thickBot="1" x14ac:dyDescent="0.3">
      <c r="H25" s="477" t="s">
        <v>124</v>
      </c>
      <c r="I25" s="478">
        <f>SUM(I18:I24)</f>
        <v>13032101.636301745</v>
      </c>
    </row>
    <row r="26" spans="2:15" ht="15.75" thickBot="1" x14ac:dyDescent="0.3"/>
    <row r="27" spans="2:15" ht="15.75" thickBot="1" x14ac:dyDescent="0.3">
      <c r="H27" s="428" t="s">
        <v>1369</v>
      </c>
      <c r="I27" s="429">
        <f>I14+I25</f>
        <v>13467676.385551745</v>
      </c>
    </row>
    <row r="28" spans="2:15" x14ac:dyDescent="0.25">
      <c r="H28" s="341"/>
      <c r="I28" s="342"/>
    </row>
    <row r="29" spans="2:15" x14ac:dyDescent="0.25">
      <c r="H29" s="341"/>
      <c r="I29" s="342"/>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1</v>
      </c>
      <c r="D45" s="237">
        <f>SUMIF('2. CONTRATACION DE PERSONAL'!$C:$C,'Cuadro Resumen'!$B$40:$B$56,'2. CONTRATACION DE PERSONAL'!$G:$G)</f>
        <v>333513.48</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108</v>
      </c>
      <c r="D53" s="237">
        <f>SUMIF('2. CONTRATACION DE PERSONAL'!$C:$C,'Cuadro Resumen'!$B$40:$B$56,'2. CONTRATACION DE PERSONAL'!$G:$G)</f>
        <v>2601460.8000000003</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109</v>
      </c>
      <c r="D57" s="237">
        <f>SUM(D40:D56)</f>
        <v>2934974.2800000003</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20</v>
      </c>
      <c r="D69" s="238">
        <f>SUMIF('3. EQUIPO DE OFICINA'!$C:$C,'Cuadro Resumen'!$B$69:$B$78,'3. EQUIPO DE OFICINA'!$F:$F)</f>
        <v>56000</v>
      </c>
    </row>
    <row r="70" spans="2:4" ht="18.75" x14ac:dyDescent="0.25">
      <c r="B70" s="92" t="s">
        <v>64</v>
      </c>
      <c r="C70" s="83">
        <f>SUMIF('3. EQUIPO DE OFICINA'!C:C,'Cuadro Resumen'!$B$69:$B$78,'3. EQUIPO DE OFICINA'!D:D)</f>
        <v>26</v>
      </c>
      <c r="D70" s="238">
        <f>SUMIF('3. EQUIPO DE OFICINA'!$C:$C,'Cuadro Resumen'!$B$69:$B$78,'3. EQUIPO DE OFICINA'!$F:$F)</f>
        <v>62400</v>
      </c>
    </row>
    <row r="71" spans="2:4" ht="18.75" x14ac:dyDescent="0.25">
      <c r="B71" s="92" t="s">
        <v>65</v>
      </c>
      <c r="C71" s="83">
        <f>SUMIF('3. EQUIPO DE OFICINA'!C:C,'Cuadro Resumen'!$B$69:$B$78,'3. EQUIPO DE OFICINA'!D:D)</f>
        <v>20</v>
      </c>
      <c r="D71" s="238">
        <f>SUMIF('3. EQUIPO DE OFICINA'!$C:$C,'Cuadro Resumen'!$B$69:$B$78,'3. EQUIPO DE OFICINA'!$F:$F)</f>
        <v>20000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18</v>
      </c>
      <c r="D73" s="238">
        <f>SUMIF('3. EQUIPO DE OFICINA'!$C:$C,'Cuadro Resumen'!$B$69:$B$78,'3. EQUIPO DE OFICINA'!$F:$F)</f>
        <v>54000</v>
      </c>
    </row>
    <row r="74" spans="2:4" ht="18.75" x14ac:dyDescent="0.25">
      <c r="B74" s="92" t="s">
        <v>68</v>
      </c>
      <c r="C74" s="83">
        <f>SUMIF('3. EQUIPO DE OFICINA'!C:C,'Cuadro Resumen'!$B$69:$B$78,'3. EQUIPO DE OFICINA'!D:D)</f>
        <v>1</v>
      </c>
      <c r="D74" s="238">
        <f>SUMIF('3. EQUIPO DE OFICINA'!$C:$C,'Cuadro Resumen'!$B$69:$B$78,'3. EQUIPO DE OFICINA'!$F:$F)</f>
        <v>10000</v>
      </c>
    </row>
    <row r="75" spans="2:4" ht="18.75" x14ac:dyDescent="0.25">
      <c r="B75" s="92" t="s">
        <v>69</v>
      </c>
      <c r="C75" s="83">
        <f>SUMIF('3. EQUIPO DE OFICINA'!C:C,'Cuadro Resumen'!$B$69:$B$78,'3. EQUIPO DE OFICINA'!D:D)</f>
        <v>19</v>
      </c>
      <c r="D75" s="238">
        <f>SUMIF('3. EQUIPO DE OFICINA'!$C:$C,'Cuadro Resumen'!$B$69:$B$78,'3. EQUIPO DE OFICINA'!$F:$F)</f>
        <v>152000</v>
      </c>
    </row>
    <row r="76" spans="2:4" ht="18.75" x14ac:dyDescent="0.25">
      <c r="B76" s="82" t="s">
        <v>70</v>
      </c>
      <c r="C76" s="83">
        <f>SUMIF('3. EQUIPO DE OFICINA'!C:C,'Cuadro Resumen'!$B$69:$B$78,'3. EQUIPO DE OFICINA'!D:D)</f>
        <v>0</v>
      </c>
      <c r="D76" s="238">
        <f>SUMIF('3. EQUIPO DE OFICINA'!$C:$C,'Cuadro Resumen'!$B$69:$B$78,'3. EQUIPO DE OFICINA'!$F:$F)</f>
        <v>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104</v>
      </c>
      <c r="D80" s="239">
        <f>SUM(D69:D79)</f>
        <v>354400</v>
      </c>
    </row>
    <row r="83" spans="2:4" x14ac:dyDescent="0.25">
      <c r="B83" s="197" t="s">
        <v>380</v>
      </c>
    </row>
    <row r="85" spans="2:4" ht="18.75" x14ac:dyDescent="0.25">
      <c r="B85" s="81" t="s">
        <v>381</v>
      </c>
      <c r="C85" s="81" t="s">
        <v>55</v>
      </c>
      <c r="D85" s="236" t="s">
        <v>474</v>
      </c>
    </row>
    <row r="86" spans="2:4" ht="37.5" x14ac:dyDescent="0.25">
      <c r="B86" s="305" t="s">
        <v>1336</v>
      </c>
      <c r="C86" s="83">
        <f>SUMIF('4. EQUIPO TECNOLÓGICOS'!C:C,'Cuadro Resumen'!$B$86:$B$102,'4. EQUIPO TECNOLÓGICOS'!D:D)</f>
        <v>0</v>
      </c>
      <c r="D86" s="83">
        <f>SUMIF('4. EQUIPO TECNOLÓGICOS'!$C:$C,'Cuadro Resumen'!$B$86:$B$102,'4. EQUIPO TECNOLÓGICOS'!F:F)</f>
        <v>0</v>
      </c>
    </row>
    <row r="87" spans="2:4" ht="18.75" x14ac:dyDescent="0.25">
      <c r="B87" s="305" t="s">
        <v>1337</v>
      </c>
      <c r="C87" s="83">
        <f>SUMIF('4. EQUIPO TECNOLÓGICOS'!C:C,'Cuadro Resumen'!$B$86:$B$102,'4. EQUIPO TECNOLÓGICOS'!D:D)</f>
        <v>0</v>
      </c>
      <c r="D87" s="83">
        <f>SUMIF('4. EQUIPO TECNOLÓGICOS'!$C:$C,'Cuadro Resumen'!$B$86:$B$102,'4. EQUIPO TECNOLÓGICOS'!F:F)</f>
        <v>0</v>
      </c>
    </row>
    <row r="88" spans="2:4" ht="37.5" x14ac:dyDescent="0.25">
      <c r="B88" s="305" t="s">
        <v>1335</v>
      </c>
      <c r="C88" s="83">
        <f>SUMIF('4. EQUIPO TECNOLÓGICOS'!C:C,'Cuadro Resumen'!$B$86:$B$102,'4. EQUIPO TECNOLÓGICOS'!D:D)</f>
        <v>0</v>
      </c>
      <c r="D88" s="83">
        <f>SUMIF('4. EQUIPO TECNOLÓGICOS'!$C:$C,'Cuadro Resumen'!$B$86:$B$102,'4. EQUIPO TECNOLÓGICOS'!F:F)</f>
        <v>0</v>
      </c>
    </row>
    <row r="89" spans="2:4" ht="37.5" x14ac:dyDescent="0.25">
      <c r="B89" s="305" t="s">
        <v>1338</v>
      </c>
      <c r="C89" s="83">
        <f>SUMIF('4. EQUIPO TECNOLÓGICOS'!C:C,'Cuadro Resumen'!$B$86:$B$102,'4. EQUIPO TECNOLÓGICOS'!D:D)</f>
        <v>3</v>
      </c>
      <c r="D89" s="83">
        <f>SUMIF('4. EQUIPO TECNOLÓGICOS'!$C:$C,'Cuadro Resumen'!$B$86:$B$102,'4. EQUIPO TECNOLÓGICOS'!F:F)</f>
        <v>45000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4</v>
      </c>
      <c r="D92" s="83">
        <f>SUMIF('4. EQUIPO TECNOLÓGICOS'!$C:$C,'Cuadro Resumen'!$B$86:$B$102,'4. EQUIPO TECNOLÓGICOS'!F:F)</f>
        <v>32000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3</v>
      </c>
      <c r="D94" s="83">
        <f>SUMIF('4. EQUIPO TECNOLÓGICOS'!$C:$C,'Cuadro Resumen'!$B$86:$B$102,'4. EQUIPO TECNOLÓGICOS'!F:F)</f>
        <v>39000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1474</v>
      </c>
      <c r="C99" s="83">
        <f>SUMIF('4. EQUIPO TECNOLÓGICOS'!C:C,'Cuadro Resumen'!$B$86:$B$102,'4. EQUIPO TECNOLÓGICOS'!D:D)</f>
        <v>11</v>
      </c>
      <c r="D99" s="83">
        <f>SUMIF('4. EQUIPO TECNOLÓGICOS'!$C:$C,'Cuadro Resumen'!$B$86:$B$102,'4. EQUIPO TECNOLÓGICOS'!F:F)</f>
        <v>16500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21</v>
      </c>
      <c r="D103" s="85">
        <f>SUM(D86:D102)</f>
        <v>132500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49"/>
    </row>
    <row r="198" spans="2:9" hidden="1" x14ac:dyDescent="0.25">
      <c r="B198" s="715" t="s">
        <v>1490</v>
      </c>
      <c r="C198" s="715"/>
      <c r="D198" s="715"/>
      <c r="E198" s="715"/>
      <c r="F198" s="715"/>
    </row>
    <row r="199" spans="2:9" hidden="1" x14ac:dyDescent="0.25">
      <c r="B199" s="453" t="s">
        <v>1491</v>
      </c>
      <c r="C199" s="452" t="s">
        <v>1492</v>
      </c>
      <c r="D199" s="452" t="s">
        <v>1492</v>
      </c>
      <c r="E199" s="452" t="s">
        <v>1493</v>
      </c>
      <c r="F199" s="452" t="s">
        <v>1493</v>
      </c>
    </row>
    <row r="200" spans="2:9" hidden="1" x14ac:dyDescent="0.25">
      <c r="B200" s="451"/>
      <c r="C200" s="451" t="s">
        <v>1494</v>
      </c>
      <c r="D200" s="451" t="s">
        <v>1495</v>
      </c>
      <c r="E200" s="451" t="s">
        <v>1494</v>
      </c>
      <c r="F200" s="451" t="s">
        <v>1495</v>
      </c>
    </row>
    <row r="201" spans="2:9" hidden="1" x14ac:dyDescent="0.25">
      <c r="B201" s="453" t="s">
        <v>3</v>
      </c>
      <c r="C201" s="450">
        <v>255</v>
      </c>
      <c r="D201" s="450">
        <v>235</v>
      </c>
      <c r="E201" s="450">
        <v>300</v>
      </c>
      <c r="F201" s="450">
        <v>280</v>
      </c>
    </row>
    <row r="202" spans="2:9" hidden="1" x14ac:dyDescent="0.25">
      <c r="B202" s="453" t="s">
        <v>4</v>
      </c>
      <c r="C202" s="450">
        <v>225</v>
      </c>
      <c r="D202" s="450">
        <v>205</v>
      </c>
      <c r="E202" s="450">
        <v>270</v>
      </c>
      <c r="F202" s="450">
        <v>250</v>
      </c>
    </row>
    <row r="203" spans="2:9" hidden="1" x14ac:dyDescent="0.25">
      <c r="B203" s="453" t="s">
        <v>5</v>
      </c>
      <c r="C203" s="450">
        <v>195</v>
      </c>
      <c r="D203" s="450">
        <v>180</v>
      </c>
      <c r="E203" s="450">
        <v>240</v>
      </c>
      <c r="F203" s="450">
        <v>220</v>
      </c>
    </row>
    <row r="204" spans="2:9" hidden="1" x14ac:dyDescent="0.25">
      <c r="B204" s="453" t="s">
        <v>6</v>
      </c>
      <c r="C204" s="450">
        <v>165</v>
      </c>
      <c r="D204" s="450">
        <v>150</v>
      </c>
      <c r="E204" s="450">
        <v>210</v>
      </c>
      <c r="F204" s="450">
        <v>195</v>
      </c>
    </row>
    <row r="205" spans="2:9" hidden="1" x14ac:dyDescent="0.25">
      <c r="B205" s="453" t="s">
        <v>1496</v>
      </c>
      <c r="C205" s="450">
        <v>145</v>
      </c>
      <c r="D205" s="450">
        <v>135</v>
      </c>
      <c r="E205" s="450">
        <v>185</v>
      </c>
      <c r="F205" s="450">
        <v>170</v>
      </c>
    </row>
    <row r="206" spans="2:9" hidden="1" x14ac:dyDescent="0.25">
      <c r="B206" s="448"/>
      <c r="C206" s="448"/>
      <c r="D206" s="448"/>
      <c r="E206" s="448"/>
      <c r="F206" s="448"/>
    </row>
    <row r="207" spans="2:9" hidden="1" x14ac:dyDescent="0.25">
      <c r="B207" s="716" t="s">
        <v>1497</v>
      </c>
      <c r="C207" s="716"/>
      <c r="D207" s="716"/>
      <c r="E207" s="476">
        <f>C20</f>
        <v>22.584900000000001</v>
      </c>
      <c r="F207" s="476" t="str">
        <f>D20</f>
        <v>Lunes, 08 de febrero del 2016 Fuente el BCH</v>
      </c>
    </row>
    <row r="208" spans="2:9" hidden="1" x14ac:dyDescent="0.25">
      <c r="B208" s="448"/>
      <c r="C208" s="448"/>
      <c r="D208" s="448"/>
      <c r="E208" s="448"/>
      <c r="F208" s="448"/>
    </row>
    <row r="209" spans="2:9" hidden="1" x14ac:dyDescent="0.25">
      <c r="B209" s="448"/>
      <c r="C209" s="448"/>
      <c r="D209" s="448"/>
      <c r="E209" s="448"/>
      <c r="F209" s="448"/>
    </row>
    <row r="210" spans="2:9" hidden="1" x14ac:dyDescent="0.25">
      <c r="B210" s="715" t="s">
        <v>1490</v>
      </c>
      <c r="C210" s="715"/>
      <c r="D210" s="715"/>
      <c r="E210" s="715"/>
      <c r="F210" s="715"/>
    </row>
    <row r="211" spans="2:9" hidden="1" x14ac:dyDescent="0.25">
      <c r="B211" s="453" t="s">
        <v>1491</v>
      </c>
      <c r="C211" s="452" t="s">
        <v>1492</v>
      </c>
      <c r="D211" s="452" t="s">
        <v>1492</v>
      </c>
      <c r="E211" s="452" t="s">
        <v>1493</v>
      </c>
      <c r="F211" s="452" t="s">
        <v>1493</v>
      </c>
    </row>
    <row r="212" spans="2:9" hidden="1" x14ac:dyDescent="0.25">
      <c r="B212" s="451"/>
      <c r="C212" s="451" t="s">
        <v>1494</v>
      </c>
      <c r="D212" s="451" t="s">
        <v>1495</v>
      </c>
      <c r="E212" s="451" t="s">
        <v>1494</v>
      </c>
      <c r="F212" s="451" t="s">
        <v>1495</v>
      </c>
    </row>
    <row r="213" spans="2:9" hidden="1" x14ac:dyDescent="0.25">
      <c r="B213" s="453" t="s">
        <v>3</v>
      </c>
      <c r="C213" s="454">
        <f>+C201*E207</f>
        <v>5759.1495000000004</v>
      </c>
      <c r="D213" s="455">
        <f>+D201*E207</f>
        <v>5307.4515000000001</v>
      </c>
      <c r="E213" s="455">
        <f>+E201*E207</f>
        <v>6775.47</v>
      </c>
      <c r="F213" s="455">
        <f>+F201*E207</f>
        <v>6323.7719999999999</v>
      </c>
    </row>
    <row r="214" spans="2:9" hidden="1" x14ac:dyDescent="0.25">
      <c r="B214" s="453" t="s">
        <v>4</v>
      </c>
      <c r="C214" s="454">
        <f>+C202*E207</f>
        <v>5081.6025</v>
      </c>
      <c r="D214" s="455">
        <f>+D202*E207</f>
        <v>4629.9045000000006</v>
      </c>
      <c r="E214" s="455">
        <f>+E202*E207</f>
        <v>6097.9230000000007</v>
      </c>
      <c r="F214" s="455">
        <f>+F202*E207</f>
        <v>5646.2250000000004</v>
      </c>
    </row>
    <row r="215" spans="2:9" hidden="1" x14ac:dyDescent="0.25">
      <c r="B215" s="453" t="s">
        <v>5</v>
      </c>
      <c r="C215" s="454">
        <f>+C203*E207</f>
        <v>4404.0555000000004</v>
      </c>
      <c r="D215" s="455">
        <f>+D203*E207</f>
        <v>4065.2820000000002</v>
      </c>
      <c r="E215" s="455">
        <f>+E203*E207</f>
        <v>5420.3760000000002</v>
      </c>
      <c r="F215" s="455">
        <f>+F203*E207</f>
        <v>4968.6779999999999</v>
      </c>
    </row>
    <row r="216" spans="2:9" hidden="1" x14ac:dyDescent="0.25">
      <c r="B216" s="453" t="s">
        <v>6</v>
      </c>
      <c r="C216" s="454">
        <f>+C204*E207</f>
        <v>3726.5085000000004</v>
      </c>
      <c r="D216" s="455">
        <f>+D204*E207</f>
        <v>3387.7350000000001</v>
      </c>
      <c r="E216" s="455">
        <f>+E204*E207</f>
        <v>4742.8290000000006</v>
      </c>
      <c r="F216" s="455">
        <f>+F204*E207</f>
        <v>4404.0555000000004</v>
      </c>
    </row>
    <row r="217" spans="2:9" hidden="1" x14ac:dyDescent="0.25">
      <c r="B217" s="453" t="s">
        <v>1496</v>
      </c>
      <c r="C217" s="454">
        <f>+C205*E207</f>
        <v>3274.8105</v>
      </c>
      <c r="D217" s="455">
        <f>+D205*E207</f>
        <v>3048.9615000000003</v>
      </c>
      <c r="E217" s="455">
        <f>+E205*E207</f>
        <v>4178.2065000000002</v>
      </c>
      <c r="F217" s="455">
        <f>+F205*E207</f>
        <v>3839.433</v>
      </c>
    </row>
    <row r="218" spans="2:9" hidden="1" x14ac:dyDescent="0.25"/>
    <row r="220" spans="2:9" s="122" customFormat="1" x14ac:dyDescent="0.25">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25" activePane="bottomLeft" state="frozen"/>
      <selection activeCell="A7" sqref="A7"/>
      <selection pane="bottomLeft" activeCell="D27" sqref="D27"/>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3"/>
      <c r="C1" s="283"/>
      <c r="D1" s="283"/>
      <c r="E1" s="283"/>
      <c r="F1" s="283"/>
      <c r="G1" s="283"/>
      <c r="H1" s="283" t="s">
        <v>1507</v>
      </c>
      <c r="K1" s="283"/>
      <c r="L1" s="283"/>
      <c r="M1" s="283"/>
      <c r="N1" s="283"/>
      <c r="O1" s="283"/>
      <c r="P1" s="513" t="s">
        <v>1604</v>
      </c>
      <c r="Q1" s="513" t="s">
        <v>1605</v>
      </c>
      <c r="R1" s="513" t="s">
        <v>1606</v>
      </c>
      <c r="S1" s="513" t="s">
        <v>1607</v>
      </c>
      <c r="T1" s="513" t="s">
        <v>1608</v>
      </c>
      <c r="U1" s="513" t="s">
        <v>1609</v>
      </c>
      <c r="V1" s="513" t="s">
        <v>1610</v>
      </c>
      <c r="W1" s="513" t="s">
        <v>1611</v>
      </c>
    </row>
    <row r="2" spans="1:23" ht="18.75" x14ac:dyDescent="0.25">
      <c r="A2" s="268" t="s">
        <v>1346</v>
      </c>
      <c r="B2" s="283"/>
      <c r="C2" s="283"/>
      <c r="D2" s="283"/>
      <c r="E2" s="283"/>
      <c r="F2" s="283"/>
      <c r="G2" s="283"/>
      <c r="H2" s="283"/>
      <c r="K2" s="283"/>
      <c r="L2" s="283"/>
      <c r="M2" s="283"/>
      <c r="N2" s="283"/>
      <c r="O2" s="283"/>
      <c r="P2" s="283"/>
      <c r="Q2" s="283"/>
      <c r="R2" s="283"/>
      <c r="S2" s="283"/>
      <c r="T2" s="283"/>
      <c r="U2" s="283"/>
    </row>
    <row r="3" spans="1:23" x14ac:dyDescent="0.25">
      <c r="A3" s="766" t="s">
        <v>1401</v>
      </c>
      <c r="B3" s="766"/>
      <c r="C3" s="766"/>
      <c r="D3" s="766"/>
      <c r="E3" s="766"/>
      <c r="F3" s="766"/>
      <c r="G3" s="766"/>
      <c r="H3" s="766"/>
      <c r="I3" s="766"/>
      <c r="J3" s="766"/>
      <c r="K3" s="766"/>
      <c r="L3" s="766"/>
      <c r="M3" s="766"/>
      <c r="N3" s="766"/>
      <c r="O3" s="766"/>
      <c r="P3" s="766"/>
      <c r="Q3" s="766"/>
      <c r="R3" s="766"/>
      <c r="S3" s="766"/>
      <c r="T3" s="766"/>
      <c r="U3" s="766"/>
    </row>
    <row r="4" spans="1:23" s="365" customFormat="1" x14ac:dyDescent="0.25">
      <c r="A4" s="377" t="s">
        <v>1400</v>
      </c>
      <c r="B4" s="375"/>
      <c r="C4" s="375"/>
      <c r="D4" s="494"/>
      <c r="E4" s="375"/>
      <c r="F4" s="375"/>
      <c r="G4" s="375"/>
      <c r="H4" s="375"/>
      <c r="I4" s="375"/>
      <c r="J4" s="375"/>
      <c r="K4" s="375"/>
      <c r="L4" s="375"/>
      <c r="M4" s="375"/>
      <c r="N4" s="375"/>
      <c r="O4" s="375"/>
      <c r="P4" s="375"/>
      <c r="Q4" s="375"/>
      <c r="R4" s="375"/>
      <c r="S4" s="375"/>
      <c r="T4" s="375"/>
      <c r="U4" s="375"/>
    </row>
    <row r="5" spans="1:23" x14ac:dyDescent="0.25">
      <c r="A5" s="315" t="s">
        <v>1469</v>
      </c>
      <c r="B5" s="268"/>
      <c r="C5" s="268"/>
      <c r="D5" s="268"/>
      <c r="E5" s="268"/>
      <c r="F5" s="268"/>
      <c r="G5" s="268"/>
      <c r="H5" s="268"/>
      <c r="I5" s="268"/>
      <c r="J5" s="268"/>
      <c r="K5" s="268"/>
      <c r="L5" s="268"/>
      <c r="M5" s="268"/>
      <c r="N5" s="268"/>
      <c r="O5" s="268"/>
      <c r="P5" s="268"/>
      <c r="Q5" s="268"/>
      <c r="R5" s="268"/>
      <c r="S5" s="268"/>
      <c r="T5" s="268"/>
      <c r="U5" s="268"/>
    </row>
    <row r="6" spans="1:23" ht="15" customHeight="1" x14ac:dyDescent="0.25">
      <c r="A6" s="720" t="s">
        <v>96</v>
      </c>
      <c r="B6" s="722" t="s">
        <v>110</v>
      </c>
      <c r="C6" s="732" t="s">
        <v>1530</v>
      </c>
      <c r="D6" s="732" t="s">
        <v>1531</v>
      </c>
      <c r="E6" s="732" t="s">
        <v>86</v>
      </c>
      <c r="F6" s="732" t="s">
        <v>391</v>
      </c>
      <c r="G6" s="732" t="s">
        <v>87</v>
      </c>
      <c r="H6" s="735" t="s">
        <v>99</v>
      </c>
      <c r="I6" s="737"/>
      <c r="J6" s="737"/>
      <c r="K6" s="737"/>
      <c r="L6" s="737"/>
      <c r="M6" s="737"/>
      <c r="N6" s="737"/>
      <c r="O6" s="736"/>
      <c r="P6" s="741" t="s">
        <v>100</v>
      </c>
      <c r="Q6" s="742"/>
      <c r="R6" s="722" t="s">
        <v>102</v>
      </c>
      <c r="S6" s="722" t="s">
        <v>109</v>
      </c>
      <c r="T6" s="722" t="s">
        <v>108</v>
      </c>
      <c r="U6" s="738" t="s">
        <v>88</v>
      </c>
    </row>
    <row r="7" spans="1:23" ht="15" customHeight="1" x14ac:dyDescent="0.25">
      <c r="A7" s="720"/>
      <c r="B7" s="720"/>
      <c r="C7" s="733"/>
      <c r="D7" s="733"/>
      <c r="E7" s="733"/>
      <c r="F7" s="733"/>
      <c r="G7" s="733"/>
      <c r="H7" s="735" t="s">
        <v>103</v>
      </c>
      <c r="I7" s="736"/>
      <c r="J7" s="735" t="s">
        <v>104</v>
      </c>
      <c r="K7" s="736"/>
      <c r="L7" s="735" t="s">
        <v>105</v>
      </c>
      <c r="M7" s="736"/>
      <c r="N7" s="735" t="s">
        <v>106</v>
      </c>
      <c r="O7" s="736"/>
      <c r="P7" s="743"/>
      <c r="Q7" s="744"/>
      <c r="R7" s="720"/>
      <c r="S7" s="720"/>
      <c r="T7" s="720"/>
      <c r="U7" s="739"/>
    </row>
    <row r="8" spans="1:23" ht="25.5" x14ac:dyDescent="0.25">
      <c r="A8" s="721"/>
      <c r="B8" s="721"/>
      <c r="C8" s="734"/>
      <c r="D8" s="734"/>
      <c r="E8" s="734"/>
      <c r="F8" s="734"/>
      <c r="G8" s="734"/>
      <c r="H8" s="440" t="s">
        <v>107</v>
      </c>
      <c r="I8" s="440" t="s">
        <v>12</v>
      </c>
      <c r="J8" s="440" t="s">
        <v>107</v>
      </c>
      <c r="K8" s="440" t="s">
        <v>12</v>
      </c>
      <c r="L8" s="440" t="s">
        <v>107</v>
      </c>
      <c r="M8" s="440" t="s">
        <v>12</v>
      </c>
      <c r="N8" s="440" t="s">
        <v>107</v>
      </c>
      <c r="O8" s="440" t="s">
        <v>12</v>
      </c>
      <c r="P8" s="440" t="s">
        <v>107</v>
      </c>
      <c r="Q8" s="440" t="s">
        <v>12</v>
      </c>
      <c r="R8" s="721"/>
      <c r="S8" s="721"/>
      <c r="T8" s="721"/>
      <c r="U8" s="740"/>
    </row>
    <row r="9" spans="1:23" s="365" customFormat="1" ht="15.75" x14ac:dyDescent="0.25">
      <c r="A9" s="441"/>
      <c r="B9" s="442"/>
      <c r="C9" s="443"/>
      <c r="D9" s="443"/>
      <c r="E9" s="443"/>
      <c r="F9" s="444"/>
      <c r="G9" s="443"/>
      <c r="H9" s="445"/>
      <c r="I9" s="445"/>
      <c r="J9" s="445"/>
      <c r="K9" s="445"/>
      <c r="L9" s="445"/>
      <c r="M9" s="445"/>
      <c r="N9" s="445"/>
      <c r="O9" s="445"/>
      <c r="P9" s="445"/>
      <c r="Q9" s="445"/>
      <c r="R9" s="446"/>
      <c r="S9" s="446"/>
      <c r="T9" s="446"/>
      <c r="U9" s="447"/>
    </row>
    <row r="10" spans="1:23" ht="15.75" x14ac:dyDescent="0.25">
      <c r="A10" s="763" t="s">
        <v>1401</v>
      </c>
      <c r="B10" s="763" t="s">
        <v>1402</v>
      </c>
      <c r="C10" s="279"/>
      <c r="D10" s="495"/>
      <c r="E10" s="279"/>
      <c r="F10" s="279"/>
      <c r="G10" s="280"/>
      <c r="H10" s="280"/>
      <c r="I10" s="358"/>
      <c r="J10" s="280"/>
      <c r="K10" s="358"/>
      <c r="L10" s="280"/>
      <c r="M10" s="358"/>
      <c r="N10" s="280"/>
      <c r="O10" s="358"/>
      <c r="P10" s="400">
        <f>H10+J10+L10+N10</f>
        <v>0</v>
      </c>
      <c r="Q10" s="401">
        <f>I10+K10+M10+O10</f>
        <v>0</v>
      </c>
      <c r="R10" s="280"/>
      <c r="S10" s="280"/>
      <c r="T10" s="280"/>
      <c r="U10" s="280"/>
    </row>
    <row r="11" spans="1:23" ht="15.75" x14ac:dyDescent="0.25">
      <c r="A11" s="764"/>
      <c r="B11" s="764"/>
      <c r="C11" s="279"/>
      <c r="D11" s="495"/>
      <c r="E11" s="279"/>
      <c r="F11" s="279"/>
      <c r="G11" s="280"/>
      <c r="H11" s="280"/>
      <c r="I11" s="358"/>
      <c r="J11" s="280"/>
      <c r="K11" s="358"/>
      <c r="L11" s="280"/>
      <c r="M11" s="358"/>
      <c r="N11" s="280"/>
      <c r="O11" s="358"/>
      <c r="P11" s="400">
        <f t="shared" ref="P11:P35" si="0">H11+J11+L11+N11</f>
        <v>0</v>
      </c>
      <c r="Q11" s="401">
        <f t="shared" ref="Q11:Q35" si="1">I11+K11+M11+O11</f>
        <v>0</v>
      </c>
      <c r="R11" s="280"/>
      <c r="S11" s="280"/>
      <c r="T11" s="280"/>
      <c r="U11" s="280"/>
    </row>
    <row r="12" spans="1:23" ht="15.75" x14ac:dyDescent="0.25">
      <c r="A12" s="764"/>
      <c r="B12" s="764"/>
      <c r="C12" s="279"/>
      <c r="D12" s="495"/>
      <c r="E12" s="279"/>
      <c r="F12" s="279"/>
      <c r="G12" s="280"/>
      <c r="H12" s="280"/>
      <c r="I12" s="358"/>
      <c r="J12" s="280"/>
      <c r="K12" s="358"/>
      <c r="L12" s="280"/>
      <c r="M12" s="358"/>
      <c r="N12" s="280"/>
      <c r="O12" s="358"/>
      <c r="P12" s="400">
        <f t="shared" si="0"/>
        <v>0</v>
      </c>
      <c r="Q12" s="401">
        <f t="shared" si="1"/>
        <v>0</v>
      </c>
      <c r="R12" s="280"/>
      <c r="S12" s="280"/>
      <c r="T12" s="280"/>
      <c r="U12" s="280"/>
    </row>
    <row r="13" spans="1:23" ht="15.75" x14ac:dyDescent="0.25">
      <c r="A13" s="764"/>
      <c r="B13" s="764"/>
      <c r="C13" s="279"/>
      <c r="D13" s="495"/>
      <c r="E13" s="279"/>
      <c r="F13" s="279"/>
      <c r="G13" s="280"/>
      <c r="H13" s="280"/>
      <c r="I13" s="358"/>
      <c r="J13" s="280"/>
      <c r="K13" s="358"/>
      <c r="L13" s="280"/>
      <c r="M13" s="358"/>
      <c r="N13" s="280"/>
      <c r="O13" s="358"/>
      <c r="P13" s="400">
        <f t="shared" si="0"/>
        <v>0</v>
      </c>
      <c r="Q13" s="401">
        <f t="shared" si="1"/>
        <v>0</v>
      </c>
      <c r="R13" s="280"/>
      <c r="S13" s="280"/>
      <c r="T13" s="280"/>
      <c r="U13" s="280"/>
    </row>
    <row r="14" spans="1:23" ht="15.75" x14ac:dyDescent="0.25">
      <c r="A14" s="764"/>
      <c r="B14" s="764"/>
      <c r="C14" s="279"/>
      <c r="D14" s="495"/>
      <c r="E14" s="279"/>
      <c r="F14" s="279"/>
      <c r="G14" s="280"/>
      <c r="H14" s="280"/>
      <c r="I14" s="358"/>
      <c r="J14" s="280"/>
      <c r="K14" s="358"/>
      <c r="L14" s="280"/>
      <c r="M14" s="358"/>
      <c r="N14" s="280"/>
      <c r="O14" s="358"/>
      <c r="P14" s="400">
        <f t="shared" si="0"/>
        <v>0</v>
      </c>
      <c r="Q14" s="401">
        <f t="shared" si="1"/>
        <v>0</v>
      </c>
      <c r="R14" s="280"/>
      <c r="S14" s="280"/>
      <c r="T14" s="280"/>
      <c r="U14" s="280"/>
    </row>
    <row r="15" spans="1:23" ht="15.75" x14ac:dyDescent="0.25">
      <c r="A15" s="765"/>
      <c r="B15" s="765"/>
      <c r="C15" s="279"/>
      <c r="D15" s="495"/>
      <c r="E15" s="279"/>
      <c r="F15" s="279"/>
      <c r="G15" s="280"/>
      <c r="H15" s="280"/>
      <c r="I15" s="358"/>
      <c r="J15" s="280"/>
      <c r="K15" s="358"/>
      <c r="L15" s="280"/>
      <c r="M15" s="358"/>
      <c r="N15" s="280"/>
      <c r="O15" s="358"/>
      <c r="P15" s="400">
        <f t="shared" si="0"/>
        <v>0</v>
      </c>
      <c r="Q15" s="401">
        <f t="shared" si="1"/>
        <v>0</v>
      </c>
      <c r="R15" s="280"/>
      <c r="S15" s="280"/>
      <c r="T15" s="280"/>
      <c r="U15" s="359"/>
    </row>
    <row r="16" spans="1:23" ht="15.75" customHeight="1" x14ac:dyDescent="0.25">
      <c r="A16" s="763" t="s">
        <v>1400</v>
      </c>
      <c r="B16" s="763" t="s">
        <v>1403</v>
      </c>
      <c r="C16" s="279"/>
      <c r="D16" s="495"/>
      <c r="E16" s="279"/>
      <c r="F16" s="279"/>
      <c r="G16" s="280"/>
      <c r="H16" s="280"/>
      <c r="I16" s="358"/>
      <c r="J16" s="280"/>
      <c r="K16" s="358"/>
      <c r="L16" s="360"/>
      <c r="M16" s="358"/>
      <c r="N16" s="280"/>
      <c r="O16" s="358"/>
      <c r="P16" s="400">
        <f t="shared" si="0"/>
        <v>0</v>
      </c>
      <c r="Q16" s="401">
        <f t="shared" si="1"/>
        <v>0</v>
      </c>
      <c r="R16" s="280"/>
      <c r="S16" s="280"/>
      <c r="T16" s="280"/>
      <c r="U16" s="280"/>
    </row>
    <row r="17" spans="1:21" ht="15.75" x14ac:dyDescent="0.25">
      <c r="A17" s="764"/>
      <c r="B17" s="764"/>
      <c r="C17" s="279"/>
      <c r="D17" s="495"/>
      <c r="E17" s="279"/>
      <c r="F17" s="279"/>
      <c r="G17" s="280"/>
      <c r="H17" s="280"/>
      <c r="I17" s="358"/>
      <c r="J17" s="280"/>
      <c r="K17" s="358"/>
      <c r="L17" s="360"/>
      <c r="M17" s="358"/>
      <c r="N17" s="280"/>
      <c r="O17" s="358"/>
      <c r="P17" s="400">
        <f t="shared" si="0"/>
        <v>0</v>
      </c>
      <c r="Q17" s="401">
        <f t="shared" si="1"/>
        <v>0</v>
      </c>
      <c r="R17" s="280"/>
      <c r="S17" s="280"/>
      <c r="T17" s="280"/>
      <c r="U17" s="280"/>
    </row>
    <row r="18" spans="1:21" ht="15.75" x14ac:dyDescent="0.25">
      <c r="A18" s="764"/>
      <c r="B18" s="764"/>
      <c r="C18" s="279"/>
      <c r="D18" s="495"/>
      <c r="E18" s="279"/>
      <c r="F18" s="279"/>
      <c r="G18" s="280"/>
      <c r="H18" s="280"/>
      <c r="I18" s="358"/>
      <c r="J18" s="280"/>
      <c r="K18" s="358"/>
      <c r="L18" s="360"/>
      <c r="M18" s="358"/>
      <c r="N18" s="280"/>
      <c r="O18" s="358"/>
      <c r="P18" s="400">
        <f t="shared" si="0"/>
        <v>0</v>
      </c>
      <c r="Q18" s="401">
        <f t="shared" si="1"/>
        <v>0</v>
      </c>
      <c r="R18" s="280"/>
      <c r="S18" s="280"/>
      <c r="T18" s="280"/>
      <c r="U18" s="280"/>
    </row>
    <row r="19" spans="1:21" ht="15.75" x14ac:dyDescent="0.25">
      <c r="A19" s="764"/>
      <c r="B19" s="764"/>
      <c r="C19" s="279"/>
      <c r="D19" s="495"/>
      <c r="E19" s="279"/>
      <c r="F19" s="279"/>
      <c r="G19" s="280"/>
      <c r="H19" s="280"/>
      <c r="I19" s="358"/>
      <c r="J19" s="280"/>
      <c r="K19" s="358"/>
      <c r="L19" s="360"/>
      <c r="M19" s="358"/>
      <c r="N19" s="280"/>
      <c r="O19" s="358"/>
      <c r="P19" s="400">
        <f t="shared" si="0"/>
        <v>0</v>
      </c>
      <c r="Q19" s="401">
        <f t="shared" si="1"/>
        <v>0</v>
      </c>
      <c r="R19" s="280"/>
      <c r="S19" s="280"/>
      <c r="T19" s="280"/>
      <c r="U19" s="280"/>
    </row>
    <row r="20" spans="1:21" ht="15.75" x14ac:dyDescent="0.25">
      <c r="A20" s="764"/>
      <c r="B20" s="764"/>
      <c r="C20" s="279"/>
      <c r="D20" s="495"/>
      <c r="E20" s="279"/>
      <c r="F20" s="279"/>
      <c r="G20" s="280"/>
      <c r="H20" s="280"/>
      <c r="I20" s="358"/>
      <c r="J20" s="280"/>
      <c r="K20" s="358"/>
      <c r="L20" s="280"/>
      <c r="M20" s="358"/>
      <c r="N20" s="280"/>
      <c r="O20" s="358"/>
      <c r="P20" s="400">
        <f t="shared" si="0"/>
        <v>0</v>
      </c>
      <c r="Q20" s="401">
        <f t="shared" si="1"/>
        <v>0</v>
      </c>
      <c r="R20" s="280"/>
      <c r="S20" s="280"/>
      <c r="T20" s="280"/>
      <c r="U20" s="361"/>
    </row>
    <row r="21" spans="1:21" s="365" customFormat="1" ht="15.75" x14ac:dyDescent="0.25">
      <c r="A21" s="764"/>
      <c r="B21" s="764"/>
      <c r="C21" s="376"/>
      <c r="D21" s="495"/>
      <c r="E21" s="376"/>
      <c r="F21" s="376"/>
      <c r="G21" s="280"/>
      <c r="H21" s="280"/>
      <c r="I21" s="358"/>
      <c r="J21" s="280"/>
      <c r="K21" s="358"/>
      <c r="L21" s="280"/>
      <c r="M21" s="358"/>
      <c r="N21" s="280"/>
      <c r="O21" s="358"/>
      <c r="P21" s="400">
        <f t="shared" si="0"/>
        <v>0</v>
      </c>
      <c r="Q21" s="401">
        <f t="shared" si="1"/>
        <v>0</v>
      </c>
      <c r="R21" s="280"/>
      <c r="S21" s="280"/>
      <c r="T21" s="280"/>
      <c r="U21" s="361"/>
    </row>
    <row r="22" spans="1:21" s="365" customFormat="1" ht="15.75" x14ac:dyDescent="0.25">
      <c r="A22" s="764"/>
      <c r="B22" s="764"/>
      <c r="C22" s="376"/>
      <c r="D22" s="495"/>
      <c r="E22" s="376"/>
      <c r="F22" s="376"/>
      <c r="G22" s="280"/>
      <c r="H22" s="280"/>
      <c r="I22" s="358"/>
      <c r="J22" s="280"/>
      <c r="K22" s="358"/>
      <c r="L22" s="280"/>
      <c r="M22" s="358"/>
      <c r="N22" s="280"/>
      <c r="O22" s="358"/>
      <c r="P22" s="400">
        <f t="shared" si="0"/>
        <v>0</v>
      </c>
      <c r="Q22" s="401">
        <f t="shared" si="1"/>
        <v>0</v>
      </c>
      <c r="R22" s="280"/>
      <c r="S22" s="280"/>
      <c r="T22" s="280"/>
      <c r="U22" s="361"/>
    </row>
    <row r="23" spans="1:21" s="365" customFormat="1" ht="15.75" x14ac:dyDescent="0.25">
      <c r="A23" s="764"/>
      <c r="B23" s="764"/>
      <c r="C23" s="376"/>
      <c r="D23" s="495"/>
      <c r="E23" s="376"/>
      <c r="F23" s="376"/>
      <c r="G23" s="280"/>
      <c r="H23" s="280"/>
      <c r="I23" s="358"/>
      <c r="J23" s="280"/>
      <c r="K23" s="358"/>
      <c r="L23" s="280"/>
      <c r="M23" s="358"/>
      <c r="N23" s="280"/>
      <c r="O23" s="358"/>
      <c r="P23" s="400">
        <f t="shared" si="0"/>
        <v>0</v>
      </c>
      <c r="Q23" s="401">
        <f t="shared" si="1"/>
        <v>0</v>
      </c>
      <c r="R23" s="280"/>
      <c r="S23" s="280"/>
      <c r="T23" s="280"/>
      <c r="U23" s="361"/>
    </row>
    <row r="24" spans="1:21" s="365" customFormat="1" ht="15.75" x14ac:dyDescent="0.25">
      <c r="A24" s="764"/>
      <c r="B24" s="764"/>
      <c r="C24" s="376"/>
      <c r="D24" s="495"/>
      <c r="E24" s="376"/>
      <c r="F24" s="376"/>
      <c r="G24" s="280"/>
      <c r="H24" s="280"/>
      <c r="I24" s="358"/>
      <c r="J24" s="280"/>
      <c r="K24" s="358"/>
      <c r="L24" s="280"/>
      <c r="M24" s="358"/>
      <c r="N24" s="280"/>
      <c r="O24" s="358"/>
      <c r="P24" s="400">
        <f t="shared" si="0"/>
        <v>0</v>
      </c>
      <c r="Q24" s="401">
        <f t="shared" si="1"/>
        <v>0</v>
      </c>
      <c r="R24" s="280"/>
      <c r="S24" s="280"/>
      <c r="T24" s="280"/>
      <c r="U24" s="361"/>
    </row>
    <row r="25" spans="1:21" s="365" customFormat="1" ht="94.5" x14ac:dyDescent="0.25">
      <c r="A25" s="767" t="s">
        <v>1469</v>
      </c>
      <c r="B25" s="767" t="s">
        <v>1424</v>
      </c>
      <c r="C25" s="376" t="s">
        <v>1605</v>
      </c>
      <c r="D25" s="616" t="s">
        <v>2465</v>
      </c>
      <c r="E25" s="616" t="s">
        <v>2466</v>
      </c>
      <c r="F25" s="627" t="s">
        <v>2468</v>
      </c>
      <c r="G25" s="568" t="s">
        <v>2467</v>
      </c>
      <c r="H25" s="678">
        <v>0.25</v>
      </c>
      <c r="I25" s="358"/>
      <c r="J25" s="678">
        <v>0.25</v>
      </c>
      <c r="K25" s="358"/>
      <c r="L25" s="678">
        <v>0.25</v>
      </c>
      <c r="M25" s="358"/>
      <c r="N25" s="678">
        <v>0.25</v>
      </c>
      <c r="O25" s="358"/>
      <c r="P25" s="400">
        <f t="shared" si="0"/>
        <v>1</v>
      </c>
      <c r="Q25" s="401">
        <f t="shared" si="1"/>
        <v>0</v>
      </c>
      <c r="R25" s="280" t="s">
        <v>2469</v>
      </c>
      <c r="S25" s="280" t="s">
        <v>2470</v>
      </c>
      <c r="T25" s="280" t="s">
        <v>2471</v>
      </c>
      <c r="U25" s="280" t="s">
        <v>2472</v>
      </c>
    </row>
    <row r="26" spans="1:21" s="365" customFormat="1" ht="15.75" x14ac:dyDescent="0.25">
      <c r="A26" s="767"/>
      <c r="B26" s="767"/>
      <c r="C26" s="376"/>
      <c r="D26" s="495"/>
      <c r="E26" s="376"/>
      <c r="F26" s="376"/>
      <c r="G26" s="280"/>
      <c r="H26" s="280"/>
      <c r="I26" s="358"/>
      <c r="J26" s="280"/>
      <c r="K26" s="358"/>
      <c r="L26" s="280"/>
      <c r="M26" s="358"/>
      <c r="N26" s="280"/>
      <c r="O26" s="358"/>
      <c r="P26" s="400">
        <f t="shared" si="0"/>
        <v>0</v>
      </c>
      <c r="Q26" s="401">
        <f t="shared" si="1"/>
        <v>0</v>
      </c>
      <c r="R26" s="280"/>
      <c r="S26" s="280"/>
      <c r="T26" s="280"/>
      <c r="U26" s="361"/>
    </row>
    <row r="27" spans="1:21" s="365" customFormat="1" ht="15.75" x14ac:dyDescent="0.25">
      <c r="A27" s="767"/>
      <c r="B27" s="767"/>
      <c r="C27" s="376"/>
      <c r="D27" s="495"/>
      <c r="E27" s="376"/>
      <c r="F27" s="376"/>
      <c r="G27" s="280"/>
      <c r="H27" s="280"/>
      <c r="I27" s="358"/>
      <c r="J27" s="280"/>
      <c r="K27" s="358"/>
      <c r="L27" s="280"/>
      <c r="M27" s="358"/>
      <c r="N27" s="280"/>
      <c r="O27" s="358"/>
      <c r="P27" s="400">
        <f t="shared" si="0"/>
        <v>0</v>
      </c>
      <c r="Q27" s="401">
        <f t="shared" si="1"/>
        <v>0</v>
      </c>
      <c r="R27" s="280"/>
      <c r="S27" s="280"/>
      <c r="T27" s="280"/>
      <c r="U27" s="361"/>
    </row>
    <row r="28" spans="1:21" s="365" customFormat="1" ht="15.75" x14ac:dyDescent="0.25">
      <c r="A28" s="767"/>
      <c r="B28" s="767"/>
      <c r="C28" s="376"/>
      <c r="D28" s="495"/>
      <c r="E28" s="376"/>
      <c r="F28" s="376"/>
      <c r="G28" s="280"/>
      <c r="H28" s="280"/>
      <c r="I28" s="358"/>
      <c r="J28" s="280"/>
      <c r="K28" s="358"/>
      <c r="L28" s="280"/>
      <c r="M28" s="358"/>
      <c r="N28" s="280"/>
      <c r="O28" s="358"/>
      <c r="P28" s="400">
        <f t="shared" si="0"/>
        <v>0</v>
      </c>
      <c r="Q28" s="401">
        <f t="shared" si="1"/>
        <v>0</v>
      </c>
      <c r="R28" s="280"/>
      <c r="S28" s="280"/>
      <c r="T28" s="280"/>
      <c r="U28" s="361"/>
    </row>
    <row r="29" spans="1:21" s="365" customFormat="1" ht="15.75" x14ac:dyDescent="0.25">
      <c r="A29" s="767"/>
      <c r="B29" s="767"/>
      <c r="C29" s="376"/>
      <c r="D29" s="495"/>
      <c r="E29" s="376"/>
      <c r="F29" s="376"/>
      <c r="G29" s="280"/>
      <c r="H29" s="280"/>
      <c r="I29" s="358"/>
      <c r="J29" s="280"/>
      <c r="K29" s="358"/>
      <c r="L29" s="280"/>
      <c r="M29" s="358"/>
      <c r="N29" s="280"/>
      <c r="O29" s="358"/>
      <c r="P29" s="400">
        <f t="shared" si="0"/>
        <v>0</v>
      </c>
      <c r="Q29" s="401">
        <f t="shared" si="1"/>
        <v>0</v>
      </c>
      <c r="R29" s="280"/>
      <c r="S29" s="280"/>
      <c r="T29" s="280"/>
      <c r="U29" s="361"/>
    </row>
    <row r="30" spans="1:21" s="365" customFormat="1" ht="15.75" x14ac:dyDescent="0.25">
      <c r="A30" s="767"/>
      <c r="B30" s="767"/>
      <c r="C30" s="376"/>
      <c r="D30" s="495"/>
      <c r="E30" s="376"/>
      <c r="F30" s="376"/>
      <c r="G30" s="280"/>
      <c r="H30" s="280"/>
      <c r="I30" s="358"/>
      <c r="J30" s="280"/>
      <c r="K30" s="358"/>
      <c r="L30" s="280"/>
      <c r="M30" s="358"/>
      <c r="N30" s="280"/>
      <c r="O30" s="358"/>
      <c r="P30" s="400">
        <f t="shared" si="0"/>
        <v>0</v>
      </c>
      <c r="Q30" s="401">
        <f t="shared" si="1"/>
        <v>0</v>
      </c>
      <c r="R30" s="280"/>
      <c r="S30" s="280"/>
      <c r="T30" s="280"/>
      <c r="U30" s="361"/>
    </row>
    <row r="31" spans="1:21" s="365" customFormat="1" ht="15.75" x14ac:dyDescent="0.25">
      <c r="A31" s="767"/>
      <c r="B31" s="767"/>
      <c r="C31" s="376"/>
      <c r="D31" s="495"/>
      <c r="E31" s="376"/>
      <c r="F31" s="376"/>
      <c r="G31" s="280"/>
      <c r="H31" s="280"/>
      <c r="I31" s="358"/>
      <c r="J31" s="280"/>
      <c r="K31" s="358"/>
      <c r="L31" s="280"/>
      <c r="M31" s="358"/>
      <c r="N31" s="280"/>
      <c r="O31" s="358"/>
      <c r="P31" s="400">
        <f t="shared" si="0"/>
        <v>0</v>
      </c>
      <c r="Q31" s="401">
        <f t="shared" si="1"/>
        <v>0</v>
      </c>
      <c r="R31" s="280"/>
      <c r="S31" s="280"/>
      <c r="T31" s="280"/>
      <c r="U31" s="361"/>
    </row>
    <row r="32" spans="1:21" s="365" customFormat="1" ht="15.75" x14ac:dyDescent="0.25">
      <c r="A32" s="767"/>
      <c r="B32" s="767"/>
      <c r="C32" s="376"/>
      <c r="D32" s="495"/>
      <c r="E32" s="376"/>
      <c r="F32" s="376"/>
      <c r="G32" s="280"/>
      <c r="H32" s="280"/>
      <c r="I32" s="358"/>
      <c r="J32" s="280"/>
      <c r="K32" s="358"/>
      <c r="L32" s="280"/>
      <c r="M32" s="358"/>
      <c r="N32" s="280"/>
      <c r="O32" s="358"/>
      <c r="P32" s="400">
        <f t="shared" si="0"/>
        <v>0</v>
      </c>
      <c r="Q32" s="401">
        <f t="shared" si="1"/>
        <v>0</v>
      </c>
      <c r="R32" s="280"/>
      <c r="S32" s="280"/>
      <c r="T32" s="280"/>
      <c r="U32" s="361"/>
    </row>
    <row r="33" spans="1:21" s="365" customFormat="1" ht="15.75" x14ac:dyDescent="0.25">
      <c r="A33" s="767"/>
      <c r="B33" s="767"/>
      <c r="C33" s="376"/>
      <c r="D33" s="495"/>
      <c r="E33" s="376"/>
      <c r="F33" s="376"/>
      <c r="G33" s="280"/>
      <c r="H33" s="280"/>
      <c r="I33" s="358"/>
      <c r="J33" s="280"/>
      <c r="K33" s="358"/>
      <c r="L33" s="280"/>
      <c r="M33" s="358"/>
      <c r="N33" s="280"/>
      <c r="O33" s="358"/>
      <c r="P33" s="400">
        <f t="shared" si="0"/>
        <v>0</v>
      </c>
      <c r="Q33" s="401">
        <f t="shared" si="1"/>
        <v>0</v>
      </c>
      <c r="R33" s="280"/>
      <c r="S33" s="280"/>
      <c r="T33" s="280"/>
      <c r="U33" s="361"/>
    </row>
    <row r="34" spans="1:21" s="365" customFormat="1" ht="15.75" x14ac:dyDescent="0.25">
      <c r="A34" s="767"/>
      <c r="B34" s="767"/>
      <c r="C34" s="376"/>
      <c r="D34" s="495"/>
      <c r="E34" s="376"/>
      <c r="F34" s="376"/>
      <c r="G34" s="280"/>
      <c r="H34" s="280"/>
      <c r="I34" s="358"/>
      <c r="J34" s="280"/>
      <c r="K34" s="358"/>
      <c r="L34" s="280"/>
      <c r="M34" s="358"/>
      <c r="N34" s="280"/>
      <c r="O34" s="358"/>
      <c r="P34" s="400">
        <f t="shared" si="0"/>
        <v>0</v>
      </c>
      <c r="Q34" s="401">
        <f t="shared" si="1"/>
        <v>0</v>
      </c>
      <c r="R34" s="280"/>
      <c r="S34" s="280"/>
      <c r="T34" s="280"/>
      <c r="U34" s="361"/>
    </row>
    <row r="35" spans="1:21" ht="15.75" x14ac:dyDescent="0.25">
      <c r="A35" s="767"/>
      <c r="B35" s="767"/>
      <c r="C35" s="279"/>
      <c r="D35" s="495"/>
      <c r="E35" s="279"/>
      <c r="F35" s="279"/>
      <c r="G35" s="280"/>
      <c r="H35" s="280"/>
      <c r="I35" s="358"/>
      <c r="J35" s="280"/>
      <c r="K35" s="358"/>
      <c r="L35" s="280"/>
      <c r="M35" s="358"/>
      <c r="N35" s="280"/>
      <c r="O35" s="358"/>
      <c r="P35" s="400">
        <f t="shared" si="0"/>
        <v>0</v>
      </c>
      <c r="Q35" s="401">
        <f t="shared" si="1"/>
        <v>0</v>
      </c>
      <c r="R35" s="280"/>
      <c r="S35" s="280"/>
      <c r="T35" s="280"/>
      <c r="U35" s="280"/>
    </row>
    <row r="36" spans="1:21" ht="15.75" x14ac:dyDescent="0.25">
      <c r="A36" s="291"/>
      <c r="B36" s="292"/>
      <c r="C36" s="291" t="s">
        <v>1508</v>
      </c>
      <c r="D36" s="292"/>
      <c r="E36" s="292"/>
      <c r="F36" s="292"/>
      <c r="G36" s="293"/>
      <c r="H36" s="281">
        <f t="shared" ref="H36:Q36" si="2">SUM(H10:H35)</f>
        <v>0.25</v>
      </c>
      <c r="I36" s="282">
        <f t="shared" si="2"/>
        <v>0</v>
      </c>
      <c r="J36" s="281">
        <f t="shared" si="2"/>
        <v>0.25</v>
      </c>
      <c r="K36" s="282">
        <f t="shared" si="2"/>
        <v>0</v>
      </c>
      <c r="L36" s="281">
        <f t="shared" si="2"/>
        <v>0.25</v>
      </c>
      <c r="M36" s="282">
        <f t="shared" si="2"/>
        <v>0</v>
      </c>
      <c r="N36" s="281">
        <f t="shared" si="2"/>
        <v>0.25</v>
      </c>
      <c r="O36" s="282">
        <f t="shared" si="2"/>
        <v>0</v>
      </c>
      <c r="P36" s="282">
        <f t="shared" si="2"/>
        <v>1</v>
      </c>
      <c r="Q36" s="282">
        <f t="shared" si="2"/>
        <v>0</v>
      </c>
      <c r="R36" s="262"/>
      <c r="S36" s="262"/>
      <c r="T36" s="262"/>
      <c r="U36" s="262"/>
    </row>
    <row r="39" spans="1:21" x14ac:dyDescent="0.25">
      <c r="C39" s="464"/>
    </row>
    <row r="40" spans="1:21" x14ac:dyDescent="0.25">
      <c r="C40" s="464"/>
    </row>
    <row r="41" spans="1:21" x14ac:dyDescent="0.25">
      <c r="C41" s="464"/>
    </row>
    <row r="42" spans="1:21" x14ac:dyDescent="0.25">
      <c r="C42" s="464"/>
      <c r="I42"/>
      <c r="K42"/>
      <c r="M42"/>
      <c r="O42"/>
      <c r="Q42"/>
    </row>
    <row r="43" spans="1:21" x14ac:dyDescent="0.25">
      <c r="C43" s="464"/>
      <c r="I43"/>
      <c r="K43"/>
      <c r="M43"/>
      <c r="O43"/>
      <c r="Q43"/>
    </row>
    <row r="44" spans="1:21" x14ac:dyDescent="0.25">
      <c r="C44" s="464"/>
      <c r="I44"/>
      <c r="K44"/>
      <c r="M44"/>
      <c r="O44"/>
      <c r="Q44"/>
    </row>
    <row r="45" spans="1:21" x14ac:dyDescent="0.25">
      <c r="C45" s="464"/>
      <c r="I45"/>
      <c r="K45"/>
      <c r="M45"/>
      <c r="O45"/>
      <c r="Q45"/>
    </row>
    <row r="46" spans="1:21" x14ac:dyDescent="0.25">
      <c r="C46" s="464"/>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24" activePane="bottomLeft" state="frozen"/>
      <selection activeCell="A7" sqref="A7"/>
      <selection pane="bottomLeft" activeCell="B38" sqref="B38:B42"/>
    </sheetView>
  </sheetViews>
  <sheetFormatPr baseColWidth="10" defaultRowHeight="15" x14ac:dyDescent="0.25"/>
  <cols>
    <col min="1" max="1" width="21.7109375" style="365" customWidth="1"/>
    <col min="2" max="2" width="24.28515625" style="365" customWidth="1"/>
    <col min="3" max="3" width="27.42578125" style="365" customWidth="1"/>
    <col min="4" max="4" width="27.42578125" style="464" customWidth="1"/>
    <col min="5" max="7" width="27.42578125" style="365" customWidth="1"/>
    <col min="8" max="8" width="15.28515625" style="365" customWidth="1"/>
    <col min="9" max="9" width="13.7109375" style="233" bestFit="1" customWidth="1"/>
    <col min="10" max="10" width="15.28515625" style="365" customWidth="1"/>
    <col min="11" max="11" width="18.85546875" style="233" customWidth="1"/>
    <col min="12" max="12" width="11.42578125" style="365"/>
    <col min="13" max="13" width="13.7109375" style="233" bestFit="1" customWidth="1"/>
    <col min="14" max="14" width="11.42578125" style="365"/>
    <col min="15" max="15" width="13.7109375" style="233" bestFit="1" customWidth="1"/>
    <col min="16" max="16" width="15.28515625" style="365" customWidth="1"/>
    <col min="17" max="17" width="18.28515625" style="233" customWidth="1"/>
    <col min="18" max="20" width="14.140625" style="365" customWidth="1"/>
    <col min="21" max="21" width="17" style="365" customWidth="1"/>
    <col min="22" max="16384" width="11.42578125" style="365"/>
  </cols>
  <sheetData>
    <row r="1" spans="1:32" ht="18.75" x14ac:dyDescent="0.25">
      <c r="B1" s="283"/>
      <c r="C1" s="283"/>
      <c r="D1" s="283"/>
      <c r="E1" s="283"/>
      <c r="F1" s="283"/>
      <c r="G1" s="283"/>
      <c r="H1" s="283" t="s">
        <v>1447</v>
      </c>
      <c r="K1" s="283"/>
      <c r="L1" s="283"/>
      <c r="M1" s="513" t="s">
        <v>1612</v>
      </c>
      <c r="N1" s="513" t="s">
        <v>1613</v>
      </c>
      <c r="O1" s="513" t="s">
        <v>1614</v>
      </c>
      <c r="P1" s="513" t="s">
        <v>1615</v>
      </c>
      <c r="Q1" s="513" t="s">
        <v>1616</v>
      </c>
      <c r="R1" s="513" t="s">
        <v>1617</v>
      </c>
      <c r="S1" s="513" t="s">
        <v>1618</v>
      </c>
      <c r="T1" s="513" t="s">
        <v>1619</v>
      </c>
      <c r="U1" s="513" t="s">
        <v>1620</v>
      </c>
      <c r="V1" s="515" t="s">
        <v>1621</v>
      </c>
      <c r="W1" s="513" t="s">
        <v>1622</v>
      </c>
      <c r="X1" s="513" t="s">
        <v>1623</v>
      </c>
      <c r="Y1" s="513" t="s">
        <v>1624</v>
      </c>
      <c r="Z1" s="513" t="s">
        <v>1625</v>
      </c>
      <c r="AA1" s="513" t="s">
        <v>1626</v>
      </c>
      <c r="AB1" s="513" t="s">
        <v>1627</v>
      </c>
      <c r="AC1" s="513" t="s">
        <v>1628</v>
      </c>
      <c r="AD1" s="513" t="s">
        <v>1629</v>
      </c>
      <c r="AE1" s="513" t="s">
        <v>1630</v>
      </c>
      <c r="AF1" s="513" t="s">
        <v>1631</v>
      </c>
    </row>
    <row r="2" spans="1:32" ht="18.75" x14ac:dyDescent="0.25">
      <c r="A2" s="268" t="s">
        <v>1346</v>
      </c>
      <c r="B2" s="283"/>
      <c r="C2" s="283"/>
      <c r="D2" s="283"/>
      <c r="E2" s="283"/>
      <c r="F2" s="283"/>
      <c r="G2" s="283"/>
      <c r="H2" s="283"/>
      <c r="K2" s="283"/>
      <c r="L2" s="283"/>
      <c r="M2" s="283"/>
      <c r="N2" s="283"/>
      <c r="O2" s="283"/>
      <c r="P2" s="283"/>
      <c r="Q2" s="283"/>
      <c r="R2" s="283"/>
      <c r="S2" s="283"/>
      <c r="T2" s="283"/>
      <c r="U2" s="283"/>
    </row>
    <row r="3" spans="1:32" x14ac:dyDescent="0.25">
      <c r="A3" s="766" t="s">
        <v>1446</v>
      </c>
      <c r="B3" s="766"/>
      <c r="C3" s="766"/>
      <c r="D3" s="766"/>
      <c r="E3" s="766"/>
      <c r="F3" s="766"/>
      <c r="G3" s="766"/>
      <c r="H3" s="766"/>
      <c r="I3" s="766"/>
      <c r="J3" s="766"/>
      <c r="K3" s="766"/>
      <c r="L3" s="766"/>
      <c r="M3" s="766"/>
      <c r="N3" s="766"/>
      <c r="O3" s="766"/>
      <c r="P3" s="766"/>
      <c r="Q3" s="766"/>
      <c r="R3" s="766"/>
      <c r="S3" s="766"/>
      <c r="T3" s="766"/>
      <c r="U3" s="766"/>
    </row>
    <row r="4" spans="1:32" ht="1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102</v>
      </c>
      <c r="S4" s="722" t="s">
        <v>109</v>
      </c>
      <c r="T4" s="722" t="s">
        <v>108</v>
      </c>
      <c r="U4" s="738" t="s">
        <v>88</v>
      </c>
    </row>
    <row r="5" spans="1:32"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39"/>
    </row>
    <row r="6" spans="1:32" ht="25.5"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40"/>
    </row>
    <row r="7" spans="1:32" ht="15.75" x14ac:dyDescent="0.25">
      <c r="A7" s="441"/>
      <c r="B7" s="442"/>
      <c r="C7" s="443"/>
      <c r="D7" s="443"/>
      <c r="E7" s="443"/>
      <c r="F7" s="444"/>
      <c r="G7" s="443"/>
      <c r="H7" s="445"/>
      <c r="I7" s="445"/>
      <c r="J7" s="445"/>
      <c r="K7" s="445"/>
      <c r="L7" s="445"/>
      <c r="M7" s="445"/>
      <c r="N7" s="445"/>
      <c r="O7" s="445"/>
      <c r="P7" s="445"/>
      <c r="Q7" s="445"/>
      <c r="R7" s="446"/>
      <c r="S7" s="446"/>
      <c r="T7" s="446"/>
      <c r="U7" s="447"/>
    </row>
    <row r="8" spans="1:32" ht="15.75" x14ac:dyDescent="0.25">
      <c r="A8" s="763" t="s">
        <v>1440</v>
      </c>
      <c r="B8" s="767" t="s">
        <v>1438</v>
      </c>
      <c r="C8" s="279"/>
      <c r="D8" s="495"/>
      <c r="E8" s="279"/>
      <c r="F8" s="279"/>
      <c r="G8" s="280"/>
      <c r="H8" s="280"/>
      <c r="I8" s="358"/>
      <c r="J8" s="280"/>
      <c r="K8" s="358"/>
      <c r="L8" s="280"/>
      <c r="M8" s="358"/>
      <c r="N8" s="280"/>
      <c r="O8" s="358"/>
      <c r="P8" s="402">
        <f t="shared" ref="P8:P22" si="0">H8+J8+L8+N8</f>
        <v>0</v>
      </c>
      <c r="Q8" s="401">
        <f t="shared" ref="Q8:Q22" si="1">I8+K8+M8+O8</f>
        <v>0</v>
      </c>
      <c r="R8" s="280"/>
      <c r="S8" s="280"/>
      <c r="T8" s="280"/>
      <c r="U8" s="280"/>
    </row>
    <row r="9" spans="1:32" ht="15.75" x14ac:dyDescent="0.25">
      <c r="A9" s="764"/>
      <c r="B9" s="767"/>
      <c r="C9" s="279"/>
      <c r="D9" s="495"/>
      <c r="E9" s="279"/>
      <c r="F9" s="279"/>
      <c r="G9" s="280"/>
      <c r="H9" s="280"/>
      <c r="I9" s="358"/>
      <c r="J9" s="280"/>
      <c r="K9" s="358"/>
      <c r="L9" s="280"/>
      <c r="M9" s="358"/>
      <c r="N9" s="280"/>
      <c r="O9" s="358"/>
      <c r="P9" s="402">
        <f t="shared" si="0"/>
        <v>0</v>
      </c>
      <c r="Q9" s="401">
        <f t="shared" si="1"/>
        <v>0</v>
      </c>
      <c r="R9" s="280"/>
      <c r="S9" s="280"/>
      <c r="T9" s="280"/>
      <c r="U9" s="280"/>
    </row>
    <row r="10" spans="1:32" ht="15.75" x14ac:dyDescent="0.25">
      <c r="A10" s="764"/>
      <c r="B10" s="767"/>
      <c r="C10" s="279"/>
      <c r="D10" s="495"/>
      <c r="E10" s="279"/>
      <c r="F10" s="279"/>
      <c r="G10" s="280"/>
      <c r="H10" s="280"/>
      <c r="I10" s="358"/>
      <c r="J10" s="280"/>
      <c r="K10" s="358"/>
      <c r="L10" s="280"/>
      <c r="M10" s="358"/>
      <c r="N10" s="280"/>
      <c r="O10" s="358"/>
      <c r="P10" s="402">
        <f t="shared" si="0"/>
        <v>0</v>
      </c>
      <c r="Q10" s="401">
        <f t="shared" si="1"/>
        <v>0</v>
      </c>
      <c r="R10" s="280"/>
      <c r="S10" s="280"/>
      <c r="T10" s="280"/>
      <c r="U10" s="280"/>
    </row>
    <row r="11" spans="1:32" ht="15.75" x14ac:dyDescent="0.25">
      <c r="A11" s="764"/>
      <c r="B11" s="767"/>
      <c r="C11" s="279"/>
      <c r="D11" s="495"/>
      <c r="E11" s="279"/>
      <c r="F11" s="279"/>
      <c r="G11" s="280"/>
      <c r="H11" s="280"/>
      <c r="I11" s="358"/>
      <c r="J11" s="280"/>
      <c r="K11" s="358"/>
      <c r="L11" s="280"/>
      <c r="M11" s="358"/>
      <c r="N11" s="280"/>
      <c r="O11" s="358"/>
      <c r="P11" s="402">
        <f t="shared" si="0"/>
        <v>0</v>
      </c>
      <c r="Q11" s="401">
        <f t="shared" si="1"/>
        <v>0</v>
      </c>
      <c r="R11" s="280"/>
      <c r="S11" s="280"/>
      <c r="T11" s="280"/>
      <c r="U11" s="280"/>
    </row>
    <row r="12" spans="1:32" ht="15.75" x14ac:dyDescent="0.25">
      <c r="A12" s="764"/>
      <c r="B12" s="767"/>
      <c r="C12" s="279"/>
      <c r="D12" s="495"/>
      <c r="E12" s="279"/>
      <c r="F12" s="279"/>
      <c r="G12" s="280"/>
      <c r="H12" s="280"/>
      <c r="I12" s="358"/>
      <c r="J12" s="280"/>
      <c r="K12" s="358"/>
      <c r="L12" s="280"/>
      <c r="M12" s="358"/>
      <c r="N12" s="280"/>
      <c r="O12" s="358"/>
      <c r="P12" s="402">
        <f t="shared" si="0"/>
        <v>0</v>
      </c>
      <c r="Q12" s="401">
        <f t="shared" si="1"/>
        <v>0</v>
      </c>
      <c r="R12" s="280"/>
      <c r="S12" s="280"/>
      <c r="T12" s="280"/>
      <c r="U12" s="280"/>
    </row>
    <row r="13" spans="1:32" ht="15.75" x14ac:dyDescent="0.25">
      <c r="A13" s="764"/>
      <c r="B13" s="767" t="s">
        <v>1445</v>
      </c>
      <c r="C13" s="279"/>
      <c r="D13" s="495"/>
      <c r="E13" s="279"/>
      <c r="F13" s="279"/>
      <c r="G13" s="280"/>
      <c r="H13" s="280"/>
      <c r="I13" s="358"/>
      <c r="J13" s="280"/>
      <c r="K13" s="358"/>
      <c r="L13" s="280"/>
      <c r="M13" s="358"/>
      <c r="N13" s="280"/>
      <c r="O13" s="358"/>
      <c r="P13" s="402">
        <f t="shared" si="0"/>
        <v>0</v>
      </c>
      <c r="Q13" s="401">
        <f t="shared" si="1"/>
        <v>0</v>
      </c>
      <c r="R13" s="280"/>
      <c r="S13" s="280"/>
      <c r="T13" s="280"/>
      <c r="U13" s="280"/>
    </row>
    <row r="14" spans="1:32" ht="15.75" x14ac:dyDescent="0.25">
      <c r="A14" s="764"/>
      <c r="B14" s="767"/>
      <c r="C14" s="279"/>
      <c r="D14" s="495"/>
      <c r="E14" s="279"/>
      <c r="F14" s="279"/>
      <c r="G14" s="280"/>
      <c r="H14" s="280"/>
      <c r="I14" s="358"/>
      <c r="J14" s="280"/>
      <c r="K14" s="358"/>
      <c r="L14" s="280"/>
      <c r="M14" s="358"/>
      <c r="N14" s="280"/>
      <c r="O14" s="358"/>
      <c r="P14" s="402">
        <f t="shared" si="0"/>
        <v>0</v>
      </c>
      <c r="Q14" s="401">
        <f t="shared" si="1"/>
        <v>0</v>
      </c>
      <c r="R14" s="280"/>
      <c r="S14" s="280"/>
      <c r="T14" s="280"/>
      <c r="U14" s="359"/>
    </row>
    <row r="15" spans="1:32" ht="15.75" x14ac:dyDescent="0.25">
      <c r="A15" s="764"/>
      <c r="B15" s="767"/>
      <c r="C15" s="279"/>
      <c r="D15" s="495"/>
      <c r="E15" s="279"/>
      <c r="F15" s="279"/>
      <c r="G15" s="280"/>
      <c r="H15" s="280"/>
      <c r="I15" s="358"/>
      <c r="J15" s="280"/>
      <c r="K15" s="358"/>
      <c r="L15" s="280"/>
      <c r="M15" s="358"/>
      <c r="N15" s="280"/>
      <c r="O15" s="358"/>
      <c r="P15" s="402">
        <f t="shared" si="0"/>
        <v>0</v>
      </c>
      <c r="Q15" s="401">
        <f t="shared" si="1"/>
        <v>0</v>
      </c>
      <c r="R15" s="280"/>
      <c r="S15" s="280"/>
      <c r="T15" s="280"/>
      <c r="U15" s="359"/>
    </row>
    <row r="16" spans="1:32" ht="15.75" x14ac:dyDescent="0.25">
      <c r="A16" s="764"/>
      <c r="B16" s="767"/>
      <c r="C16" s="279"/>
      <c r="D16" s="495"/>
      <c r="E16" s="279"/>
      <c r="F16" s="279"/>
      <c r="G16" s="280"/>
      <c r="H16" s="280"/>
      <c r="I16" s="358"/>
      <c r="J16" s="280"/>
      <c r="K16" s="358"/>
      <c r="L16" s="280"/>
      <c r="M16" s="358"/>
      <c r="N16" s="280"/>
      <c r="O16" s="358"/>
      <c r="P16" s="402">
        <f t="shared" si="0"/>
        <v>0</v>
      </c>
      <c r="Q16" s="401">
        <f t="shared" si="1"/>
        <v>0</v>
      </c>
      <c r="R16" s="280"/>
      <c r="S16" s="280"/>
      <c r="T16" s="280"/>
      <c r="U16" s="359"/>
    </row>
    <row r="17" spans="1:21" ht="15.75" x14ac:dyDescent="0.25">
      <c r="A17" s="764"/>
      <c r="B17" s="767"/>
      <c r="C17" s="279"/>
      <c r="D17" s="495"/>
      <c r="E17" s="279"/>
      <c r="F17" s="279"/>
      <c r="G17" s="280"/>
      <c r="H17" s="280"/>
      <c r="I17" s="358"/>
      <c r="J17" s="280"/>
      <c r="K17" s="358"/>
      <c r="L17" s="360"/>
      <c r="M17" s="358"/>
      <c r="N17" s="280"/>
      <c r="O17" s="358"/>
      <c r="P17" s="402">
        <f t="shared" si="0"/>
        <v>0</v>
      </c>
      <c r="Q17" s="401">
        <f t="shared" si="1"/>
        <v>0</v>
      </c>
      <c r="R17" s="280"/>
      <c r="S17" s="280"/>
      <c r="T17" s="280"/>
      <c r="U17" s="280"/>
    </row>
    <row r="18" spans="1:21" ht="15.75" x14ac:dyDescent="0.25">
      <c r="A18" s="764"/>
      <c r="B18" s="767" t="s">
        <v>1439</v>
      </c>
      <c r="C18" s="279"/>
      <c r="D18" s="495"/>
      <c r="E18" s="279"/>
      <c r="F18" s="279"/>
      <c r="G18" s="280"/>
      <c r="H18" s="280"/>
      <c r="I18" s="358"/>
      <c r="J18" s="280"/>
      <c r="K18" s="358"/>
      <c r="L18" s="360"/>
      <c r="M18" s="358"/>
      <c r="N18" s="280"/>
      <c r="O18" s="358"/>
      <c r="P18" s="402">
        <f t="shared" si="0"/>
        <v>0</v>
      </c>
      <c r="Q18" s="401">
        <f t="shared" si="1"/>
        <v>0</v>
      </c>
      <c r="R18" s="280"/>
      <c r="S18" s="280"/>
      <c r="T18" s="280"/>
      <c r="U18" s="280"/>
    </row>
    <row r="19" spans="1:21" ht="15.75" x14ac:dyDescent="0.25">
      <c r="A19" s="764"/>
      <c r="B19" s="767"/>
      <c r="C19" s="279"/>
      <c r="D19" s="495"/>
      <c r="E19" s="279"/>
      <c r="F19" s="279"/>
      <c r="G19" s="280"/>
      <c r="H19" s="280"/>
      <c r="I19" s="358"/>
      <c r="J19" s="280"/>
      <c r="K19" s="358"/>
      <c r="L19" s="360"/>
      <c r="M19" s="358"/>
      <c r="N19" s="280"/>
      <c r="O19" s="358"/>
      <c r="P19" s="402">
        <f t="shared" si="0"/>
        <v>0</v>
      </c>
      <c r="Q19" s="401">
        <f t="shared" si="1"/>
        <v>0</v>
      </c>
      <c r="R19" s="280"/>
      <c r="S19" s="280"/>
      <c r="T19" s="280"/>
      <c r="U19" s="280"/>
    </row>
    <row r="20" spans="1:21" ht="15.75" x14ac:dyDescent="0.25">
      <c r="A20" s="764"/>
      <c r="B20" s="767"/>
      <c r="C20" s="279"/>
      <c r="D20" s="495"/>
      <c r="E20" s="279"/>
      <c r="F20" s="279"/>
      <c r="G20" s="280"/>
      <c r="H20" s="280"/>
      <c r="I20" s="358"/>
      <c r="J20" s="280"/>
      <c r="K20" s="358"/>
      <c r="L20" s="360"/>
      <c r="M20" s="358"/>
      <c r="N20" s="280"/>
      <c r="O20" s="358"/>
      <c r="P20" s="402">
        <f t="shared" si="0"/>
        <v>0</v>
      </c>
      <c r="Q20" s="401">
        <f t="shared" si="1"/>
        <v>0</v>
      </c>
      <c r="R20" s="280"/>
      <c r="S20" s="280"/>
      <c r="T20" s="280"/>
      <c r="U20" s="280"/>
    </row>
    <row r="21" spans="1:21" ht="15.75" x14ac:dyDescent="0.25">
      <c r="A21" s="764"/>
      <c r="B21" s="767"/>
      <c r="C21" s="279"/>
      <c r="D21" s="495"/>
      <c r="E21" s="279"/>
      <c r="F21" s="279"/>
      <c r="G21" s="280"/>
      <c r="H21" s="280"/>
      <c r="I21" s="358"/>
      <c r="J21" s="280"/>
      <c r="K21" s="358"/>
      <c r="L21" s="360"/>
      <c r="M21" s="358"/>
      <c r="N21" s="280"/>
      <c r="O21" s="358"/>
      <c r="P21" s="402">
        <f t="shared" si="0"/>
        <v>0</v>
      </c>
      <c r="Q21" s="401">
        <f t="shared" si="1"/>
        <v>0</v>
      </c>
      <c r="R21" s="280"/>
      <c r="S21" s="280"/>
      <c r="T21" s="280"/>
      <c r="U21" s="280"/>
    </row>
    <row r="22" spans="1:21" ht="15.75" x14ac:dyDescent="0.25">
      <c r="A22" s="764"/>
      <c r="B22" s="767"/>
      <c r="C22" s="279"/>
      <c r="D22" s="495"/>
      <c r="E22" s="279"/>
      <c r="F22" s="370"/>
      <c r="G22" s="280"/>
      <c r="H22" s="280"/>
      <c r="I22" s="358"/>
      <c r="J22" s="280"/>
      <c r="K22" s="358"/>
      <c r="L22" s="360"/>
      <c r="M22" s="358"/>
      <c r="N22" s="280"/>
      <c r="O22" s="358"/>
      <c r="P22" s="402">
        <f t="shared" si="0"/>
        <v>0</v>
      </c>
      <c r="Q22" s="401">
        <f t="shared" si="1"/>
        <v>0</v>
      </c>
      <c r="R22" s="280"/>
      <c r="S22" s="280"/>
      <c r="T22" s="280"/>
      <c r="U22" s="280"/>
    </row>
    <row r="23" spans="1:21" ht="15.75" x14ac:dyDescent="0.25">
      <c r="A23" s="764"/>
      <c r="B23" s="763" t="s">
        <v>1441</v>
      </c>
      <c r="C23" s="279"/>
      <c r="D23" s="495"/>
      <c r="E23" s="279"/>
      <c r="F23" s="370"/>
      <c r="G23" s="280"/>
      <c r="H23" s="280"/>
      <c r="I23" s="358"/>
      <c r="J23" s="280"/>
      <c r="K23" s="358"/>
      <c r="L23" s="360"/>
      <c r="M23" s="358"/>
      <c r="N23" s="280"/>
      <c r="O23" s="358"/>
      <c r="P23" s="402">
        <f t="shared" ref="P23:Q23" si="2">H23+J23+L23+N23</f>
        <v>0</v>
      </c>
      <c r="Q23" s="401">
        <f t="shared" si="2"/>
        <v>0</v>
      </c>
      <c r="R23" s="280"/>
      <c r="S23" s="280"/>
      <c r="T23" s="280"/>
      <c r="U23" s="280"/>
    </row>
    <row r="24" spans="1:21" ht="15.75" x14ac:dyDescent="0.25">
      <c r="A24" s="764"/>
      <c r="B24" s="764"/>
      <c r="C24" s="279"/>
      <c r="D24" s="495"/>
      <c r="E24" s="279"/>
      <c r="F24" s="370"/>
      <c r="G24" s="280"/>
      <c r="H24" s="280"/>
      <c r="I24" s="358"/>
      <c r="J24" s="280"/>
      <c r="K24" s="358"/>
      <c r="L24" s="360"/>
      <c r="M24" s="358"/>
      <c r="N24" s="280"/>
      <c r="O24" s="358"/>
      <c r="P24" s="402">
        <f t="shared" ref="P24:P42" si="3">H24+J24+L24+N24</f>
        <v>0</v>
      </c>
      <c r="Q24" s="401">
        <f t="shared" ref="Q24:Q42" si="4">I24+K24+M24+O24</f>
        <v>0</v>
      </c>
      <c r="R24" s="280"/>
      <c r="S24" s="280"/>
      <c r="T24" s="280"/>
      <c r="U24" s="280"/>
    </row>
    <row r="25" spans="1:21" ht="15.75" x14ac:dyDescent="0.25">
      <c r="A25" s="764"/>
      <c r="B25" s="764"/>
      <c r="C25" s="279"/>
      <c r="D25" s="495"/>
      <c r="E25" s="279"/>
      <c r="F25" s="370"/>
      <c r="G25" s="280"/>
      <c r="H25" s="280"/>
      <c r="I25" s="358"/>
      <c r="J25" s="280"/>
      <c r="K25" s="358"/>
      <c r="L25" s="360"/>
      <c r="M25" s="358"/>
      <c r="N25" s="280"/>
      <c r="O25" s="358"/>
      <c r="P25" s="402">
        <f t="shared" si="3"/>
        <v>0</v>
      </c>
      <c r="Q25" s="401">
        <f t="shared" si="4"/>
        <v>0</v>
      </c>
      <c r="R25" s="280"/>
      <c r="S25" s="280"/>
      <c r="T25" s="280"/>
      <c r="U25" s="280"/>
    </row>
    <row r="26" spans="1:21" ht="15.75" x14ac:dyDescent="0.25">
      <c r="A26" s="764"/>
      <c r="B26" s="764"/>
      <c r="C26" s="279"/>
      <c r="D26" s="495"/>
      <c r="E26" s="279"/>
      <c r="F26" s="370"/>
      <c r="G26" s="280"/>
      <c r="H26" s="280"/>
      <c r="I26" s="358"/>
      <c r="J26" s="280"/>
      <c r="K26" s="358"/>
      <c r="L26" s="360"/>
      <c r="M26" s="358"/>
      <c r="N26" s="280"/>
      <c r="O26" s="358"/>
      <c r="P26" s="402">
        <f t="shared" si="3"/>
        <v>0</v>
      </c>
      <c r="Q26" s="401">
        <f t="shared" si="4"/>
        <v>0</v>
      </c>
      <c r="R26" s="280"/>
      <c r="S26" s="280"/>
      <c r="T26" s="280"/>
      <c r="U26" s="280"/>
    </row>
    <row r="27" spans="1:21" ht="15.75" x14ac:dyDescent="0.25">
      <c r="A27" s="764"/>
      <c r="B27" s="765"/>
      <c r="C27" s="279"/>
      <c r="D27" s="495"/>
      <c r="E27" s="279"/>
      <c r="F27" s="370"/>
      <c r="G27" s="280"/>
      <c r="H27" s="280"/>
      <c r="I27" s="358"/>
      <c r="J27" s="280"/>
      <c r="K27" s="358"/>
      <c r="L27" s="360"/>
      <c r="M27" s="358"/>
      <c r="N27" s="280"/>
      <c r="O27" s="358"/>
      <c r="P27" s="402">
        <f t="shared" si="3"/>
        <v>0</v>
      </c>
      <c r="Q27" s="401">
        <f t="shared" si="4"/>
        <v>0</v>
      </c>
      <c r="R27" s="280"/>
      <c r="S27" s="280"/>
      <c r="T27" s="280"/>
      <c r="U27" s="280"/>
    </row>
    <row r="28" spans="1:21" ht="15.75" x14ac:dyDescent="0.25">
      <c r="A28" s="764"/>
      <c r="B28" s="763" t="s">
        <v>1442</v>
      </c>
      <c r="C28" s="279"/>
      <c r="D28" s="495"/>
      <c r="E28" s="279"/>
      <c r="F28" s="370"/>
      <c r="G28" s="280"/>
      <c r="H28" s="280"/>
      <c r="I28" s="358"/>
      <c r="J28" s="280"/>
      <c r="K28" s="358"/>
      <c r="L28" s="360"/>
      <c r="M28" s="358"/>
      <c r="N28" s="280"/>
      <c r="O28" s="358"/>
      <c r="P28" s="402">
        <f t="shared" si="3"/>
        <v>0</v>
      </c>
      <c r="Q28" s="401">
        <f t="shared" si="4"/>
        <v>0</v>
      </c>
      <c r="R28" s="280"/>
      <c r="S28" s="280"/>
      <c r="T28" s="280"/>
      <c r="U28" s="280"/>
    </row>
    <row r="29" spans="1:21" ht="15.75" x14ac:dyDescent="0.25">
      <c r="A29" s="764"/>
      <c r="B29" s="764"/>
      <c r="C29" s="279"/>
      <c r="D29" s="495"/>
      <c r="E29" s="279"/>
      <c r="F29" s="370"/>
      <c r="G29" s="280"/>
      <c r="H29" s="280"/>
      <c r="I29" s="358"/>
      <c r="J29" s="280"/>
      <c r="K29" s="358"/>
      <c r="L29" s="360"/>
      <c r="M29" s="358"/>
      <c r="N29" s="280"/>
      <c r="O29" s="358"/>
      <c r="P29" s="402">
        <f t="shared" si="3"/>
        <v>0</v>
      </c>
      <c r="Q29" s="401">
        <f t="shared" si="4"/>
        <v>0</v>
      </c>
      <c r="R29" s="280"/>
      <c r="S29" s="280"/>
      <c r="T29" s="280"/>
      <c r="U29" s="280"/>
    </row>
    <row r="30" spans="1:21" ht="15.75" x14ac:dyDescent="0.25">
      <c r="A30" s="764"/>
      <c r="B30" s="764"/>
      <c r="C30" s="279"/>
      <c r="D30" s="495"/>
      <c r="E30" s="279"/>
      <c r="F30" s="279"/>
      <c r="G30" s="280"/>
      <c r="H30" s="280"/>
      <c r="I30" s="358"/>
      <c r="J30" s="280"/>
      <c r="K30" s="358"/>
      <c r="L30" s="360"/>
      <c r="M30" s="358"/>
      <c r="N30" s="280"/>
      <c r="O30" s="358"/>
      <c r="P30" s="402">
        <f t="shared" si="3"/>
        <v>0</v>
      </c>
      <c r="Q30" s="401">
        <f t="shared" si="4"/>
        <v>0</v>
      </c>
      <c r="R30" s="280"/>
      <c r="S30" s="280"/>
      <c r="T30" s="280"/>
      <c r="U30" s="280"/>
    </row>
    <row r="31" spans="1:21" ht="15.75" x14ac:dyDescent="0.25">
      <c r="A31" s="764"/>
      <c r="B31" s="764"/>
      <c r="C31" s="279"/>
      <c r="D31" s="495"/>
      <c r="E31" s="279"/>
      <c r="F31" s="279"/>
      <c r="G31" s="280"/>
      <c r="H31" s="280"/>
      <c r="I31" s="358"/>
      <c r="J31" s="280"/>
      <c r="K31" s="358"/>
      <c r="L31" s="360"/>
      <c r="M31" s="358"/>
      <c r="N31" s="280"/>
      <c r="O31" s="358"/>
      <c r="P31" s="402">
        <f t="shared" si="3"/>
        <v>0</v>
      </c>
      <c r="Q31" s="401">
        <f t="shared" si="4"/>
        <v>0</v>
      </c>
      <c r="R31" s="280"/>
      <c r="S31" s="280"/>
      <c r="T31" s="280"/>
      <c r="U31" s="280"/>
    </row>
    <row r="32" spans="1:21" ht="15.75" x14ac:dyDescent="0.25">
      <c r="A32" s="764"/>
      <c r="B32" s="765"/>
      <c r="C32" s="279"/>
      <c r="D32" s="495"/>
      <c r="E32" s="279"/>
      <c r="F32" s="279"/>
      <c r="G32" s="280"/>
      <c r="H32" s="280"/>
      <c r="I32" s="358"/>
      <c r="J32" s="280"/>
      <c r="K32" s="358"/>
      <c r="L32" s="360"/>
      <c r="M32" s="358"/>
      <c r="N32" s="280"/>
      <c r="O32" s="358"/>
      <c r="P32" s="402">
        <f t="shared" si="3"/>
        <v>0</v>
      </c>
      <c r="Q32" s="401">
        <f t="shared" si="4"/>
        <v>0</v>
      </c>
      <c r="R32" s="280"/>
      <c r="S32" s="280"/>
      <c r="T32" s="280"/>
      <c r="U32" s="280"/>
    </row>
    <row r="33" spans="1:21" ht="15.75" x14ac:dyDescent="0.25">
      <c r="A33" s="764"/>
      <c r="B33" s="767" t="s">
        <v>1443</v>
      </c>
      <c r="C33" s="369"/>
      <c r="D33" s="496"/>
      <c r="E33" s="279"/>
      <c r="F33" s="279"/>
      <c r="G33" s="280"/>
      <c r="H33" s="280"/>
      <c r="I33" s="358"/>
      <c r="J33" s="280"/>
      <c r="K33" s="358"/>
      <c r="L33" s="360"/>
      <c r="M33" s="358"/>
      <c r="N33" s="280"/>
      <c r="O33" s="358"/>
      <c r="P33" s="402">
        <f t="shared" si="3"/>
        <v>0</v>
      </c>
      <c r="Q33" s="401">
        <f t="shared" si="4"/>
        <v>0</v>
      </c>
      <c r="R33" s="280"/>
      <c r="S33" s="280"/>
      <c r="T33" s="280"/>
      <c r="U33" s="280"/>
    </row>
    <row r="34" spans="1:21" ht="15.75" x14ac:dyDescent="0.25">
      <c r="A34" s="764"/>
      <c r="B34" s="767"/>
      <c r="C34" s="369"/>
      <c r="D34" s="496"/>
      <c r="E34" s="279"/>
      <c r="F34" s="279"/>
      <c r="G34" s="280"/>
      <c r="H34" s="280"/>
      <c r="I34" s="358"/>
      <c r="J34" s="280"/>
      <c r="K34" s="358"/>
      <c r="L34" s="360"/>
      <c r="M34" s="358"/>
      <c r="N34" s="280"/>
      <c r="O34" s="358"/>
      <c r="P34" s="402">
        <f t="shared" si="3"/>
        <v>0</v>
      </c>
      <c r="Q34" s="401">
        <f t="shared" si="4"/>
        <v>0</v>
      </c>
      <c r="R34" s="280"/>
      <c r="S34" s="280"/>
      <c r="T34" s="280"/>
      <c r="U34" s="280"/>
    </row>
    <row r="35" spans="1:21" ht="15.75" x14ac:dyDescent="0.25">
      <c r="A35" s="764"/>
      <c r="B35" s="767"/>
      <c r="C35" s="369"/>
      <c r="D35" s="496"/>
      <c r="E35" s="279"/>
      <c r="F35" s="279"/>
      <c r="G35" s="280"/>
      <c r="H35" s="280"/>
      <c r="I35" s="358"/>
      <c r="J35" s="280"/>
      <c r="K35" s="358"/>
      <c r="L35" s="360"/>
      <c r="M35" s="358"/>
      <c r="N35" s="280"/>
      <c r="O35" s="358"/>
      <c r="P35" s="402">
        <f t="shared" si="3"/>
        <v>0</v>
      </c>
      <c r="Q35" s="401">
        <f t="shared" si="4"/>
        <v>0</v>
      </c>
      <c r="R35" s="280"/>
      <c r="S35" s="280"/>
      <c r="T35" s="280"/>
      <c r="U35" s="280"/>
    </row>
    <row r="36" spans="1:21" ht="15.75" x14ac:dyDescent="0.25">
      <c r="A36" s="764"/>
      <c r="B36" s="767"/>
      <c r="C36" s="369"/>
      <c r="D36" s="496"/>
      <c r="E36" s="279"/>
      <c r="F36" s="279"/>
      <c r="G36" s="280"/>
      <c r="H36" s="280"/>
      <c r="I36" s="358"/>
      <c r="J36" s="280"/>
      <c r="K36" s="358"/>
      <c r="L36" s="360"/>
      <c r="M36" s="358"/>
      <c r="N36" s="280"/>
      <c r="O36" s="358"/>
      <c r="P36" s="402">
        <f t="shared" si="3"/>
        <v>0</v>
      </c>
      <c r="Q36" s="401">
        <f t="shared" si="4"/>
        <v>0</v>
      </c>
      <c r="R36" s="280"/>
      <c r="S36" s="280"/>
      <c r="T36" s="280"/>
      <c r="U36" s="280"/>
    </row>
    <row r="37" spans="1:21" ht="15.75" x14ac:dyDescent="0.25">
      <c r="A37" s="764"/>
      <c r="B37" s="767"/>
      <c r="C37" s="369"/>
      <c r="D37" s="496"/>
      <c r="E37" s="279"/>
      <c r="F37" s="279"/>
      <c r="G37" s="280"/>
      <c r="H37" s="280"/>
      <c r="I37" s="358"/>
      <c r="J37" s="280"/>
      <c r="K37" s="358"/>
      <c r="L37" s="360"/>
      <c r="M37" s="358"/>
      <c r="N37" s="280"/>
      <c r="O37" s="358"/>
      <c r="P37" s="402">
        <f t="shared" si="3"/>
        <v>0</v>
      </c>
      <c r="Q37" s="401">
        <f t="shared" si="4"/>
        <v>0</v>
      </c>
      <c r="R37" s="280"/>
      <c r="S37" s="280"/>
      <c r="T37" s="280"/>
      <c r="U37" s="280"/>
    </row>
    <row r="38" spans="1:21" ht="15.75" x14ac:dyDescent="0.25">
      <c r="A38" s="764"/>
      <c r="B38" s="767" t="s">
        <v>1444</v>
      </c>
      <c r="C38" s="369"/>
      <c r="D38" s="496"/>
      <c r="E38" s="279"/>
      <c r="F38" s="279"/>
      <c r="G38" s="280"/>
      <c r="H38" s="280"/>
      <c r="I38" s="358"/>
      <c r="J38" s="280"/>
      <c r="K38" s="358"/>
      <c r="L38" s="360"/>
      <c r="M38" s="358"/>
      <c r="N38" s="280"/>
      <c r="O38" s="358"/>
      <c r="P38" s="402">
        <f t="shared" si="3"/>
        <v>0</v>
      </c>
      <c r="Q38" s="401">
        <f t="shared" si="4"/>
        <v>0</v>
      </c>
      <c r="R38" s="280"/>
      <c r="S38" s="280"/>
      <c r="T38" s="280"/>
      <c r="U38" s="280"/>
    </row>
    <row r="39" spans="1:21" ht="15.75" x14ac:dyDescent="0.25">
      <c r="A39" s="764"/>
      <c r="B39" s="767"/>
      <c r="C39" s="369"/>
      <c r="D39" s="496"/>
      <c r="E39" s="279"/>
      <c r="F39" s="279"/>
      <c r="G39" s="280"/>
      <c r="H39" s="280"/>
      <c r="I39" s="358"/>
      <c r="J39" s="280"/>
      <c r="K39" s="358"/>
      <c r="L39" s="360"/>
      <c r="M39" s="358"/>
      <c r="N39" s="280"/>
      <c r="O39" s="358"/>
      <c r="P39" s="402">
        <f t="shared" si="3"/>
        <v>0</v>
      </c>
      <c r="Q39" s="401">
        <f t="shared" si="4"/>
        <v>0</v>
      </c>
      <c r="R39" s="280"/>
      <c r="S39" s="280"/>
      <c r="T39" s="280"/>
      <c r="U39" s="280"/>
    </row>
    <row r="40" spans="1:21" ht="15.75" x14ac:dyDescent="0.25">
      <c r="A40" s="764"/>
      <c r="B40" s="767"/>
      <c r="C40" s="369"/>
      <c r="D40" s="496"/>
      <c r="E40" s="279"/>
      <c r="F40" s="279"/>
      <c r="G40" s="280"/>
      <c r="H40" s="280"/>
      <c r="I40" s="358"/>
      <c r="J40" s="280"/>
      <c r="K40" s="358"/>
      <c r="L40" s="360"/>
      <c r="M40" s="358"/>
      <c r="N40" s="280"/>
      <c r="O40" s="358"/>
      <c r="P40" s="402">
        <f t="shared" si="3"/>
        <v>0</v>
      </c>
      <c r="Q40" s="401">
        <f t="shared" si="4"/>
        <v>0</v>
      </c>
      <c r="R40" s="280"/>
      <c r="S40" s="280"/>
      <c r="T40" s="280"/>
      <c r="U40" s="280"/>
    </row>
    <row r="41" spans="1:21" ht="15.75" x14ac:dyDescent="0.25">
      <c r="A41" s="764"/>
      <c r="B41" s="767"/>
      <c r="C41" s="369"/>
      <c r="D41" s="496"/>
      <c r="E41" s="279"/>
      <c r="F41" s="279"/>
      <c r="G41" s="280"/>
      <c r="H41" s="280"/>
      <c r="I41" s="358"/>
      <c r="J41" s="280"/>
      <c r="K41" s="358"/>
      <c r="L41" s="360"/>
      <c r="M41" s="358"/>
      <c r="N41" s="280"/>
      <c r="O41" s="358"/>
      <c r="P41" s="402">
        <f t="shared" si="3"/>
        <v>0</v>
      </c>
      <c r="Q41" s="401">
        <f t="shared" si="4"/>
        <v>0</v>
      </c>
      <c r="R41" s="280"/>
      <c r="S41" s="280"/>
      <c r="T41" s="280"/>
      <c r="U41" s="280"/>
    </row>
    <row r="42" spans="1:21" ht="15.75" x14ac:dyDescent="0.25">
      <c r="A42" s="764"/>
      <c r="B42" s="767"/>
      <c r="C42" s="369"/>
      <c r="D42" s="496"/>
      <c r="E42" s="279"/>
      <c r="F42" s="279"/>
      <c r="G42" s="280"/>
      <c r="H42" s="280"/>
      <c r="I42" s="358"/>
      <c r="J42" s="280"/>
      <c r="K42" s="358"/>
      <c r="L42" s="360"/>
      <c r="M42" s="358"/>
      <c r="N42" s="280"/>
      <c r="O42" s="358"/>
      <c r="P42" s="402">
        <f t="shared" si="3"/>
        <v>0</v>
      </c>
      <c r="Q42" s="401">
        <f t="shared" si="4"/>
        <v>0</v>
      </c>
      <c r="R42" s="280"/>
      <c r="S42" s="280"/>
      <c r="T42" s="280"/>
      <c r="U42" s="280"/>
    </row>
    <row r="43" spans="1:21" ht="15.75" x14ac:dyDescent="0.25">
      <c r="A43" s="291"/>
      <c r="B43" s="292"/>
      <c r="C43" s="291" t="s">
        <v>1448</v>
      </c>
      <c r="D43" s="292"/>
      <c r="E43" s="292"/>
      <c r="F43" s="292"/>
      <c r="G43" s="293"/>
      <c r="H43" s="281">
        <f t="shared" ref="H43:Q43" si="5">SUM(H8:H42)</f>
        <v>0</v>
      </c>
      <c r="I43" s="282">
        <f t="shared" si="5"/>
        <v>0</v>
      </c>
      <c r="J43" s="281">
        <f t="shared" si="5"/>
        <v>0</v>
      </c>
      <c r="K43" s="282">
        <f t="shared" si="5"/>
        <v>0</v>
      </c>
      <c r="L43" s="281">
        <f t="shared" si="5"/>
        <v>0</v>
      </c>
      <c r="M43" s="282">
        <f t="shared" si="5"/>
        <v>0</v>
      </c>
      <c r="N43" s="281">
        <f t="shared" si="5"/>
        <v>0</v>
      </c>
      <c r="O43" s="282">
        <f t="shared" si="5"/>
        <v>0</v>
      </c>
      <c r="P43" s="282">
        <f t="shared" si="5"/>
        <v>0</v>
      </c>
      <c r="Q43" s="282">
        <f t="shared" si="5"/>
        <v>0</v>
      </c>
      <c r="R43" s="262"/>
      <c r="S43" s="262"/>
      <c r="T43" s="262"/>
      <c r="U43" s="262"/>
    </row>
    <row r="49" spans="3:17" x14ac:dyDescent="0.25">
      <c r="I49" s="365"/>
      <c r="K49" s="365"/>
      <c r="M49" s="365"/>
      <c r="O49" s="365"/>
      <c r="Q49" s="365"/>
    </row>
    <row r="50" spans="3:17" x14ac:dyDescent="0.25">
      <c r="I50" s="365"/>
      <c r="K50" s="365"/>
      <c r="M50" s="365"/>
      <c r="O50" s="365"/>
      <c r="Q50" s="365"/>
    </row>
    <row r="51" spans="3:17" x14ac:dyDescent="0.25">
      <c r="C51" s="464"/>
      <c r="I51" s="365"/>
      <c r="K51" s="365"/>
      <c r="M51" s="365"/>
      <c r="O51" s="365"/>
      <c r="Q51" s="365"/>
    </row>
    <row r="52" spans="3:17" x14ac:dyDescent="0.25">
      <c r="C52" s="464"/>
      <c r="I52" s="365"/>
      <c r="K52" s="365"/>
      <c r="M52" s="365"/>
      <c r="O52" s="365"/>
      <c r="Q52" s="365"/>
    </row>
    <row r="53" spans="3:17" x14ac:dyDescent="0.25">
      <c r="C53" s="464"/>
      <c r="I53" s="365"/>
      <c r="K53" s="365"/>
      <c r="M53" s="365"/>
      <c r="O53" s="365"/>
      <c r="Q53" s="365"/>
    </row>
    <row r="54" spans="3:17" x14ac:dyDescent="0.25">
      <c r="C54" s="464"/>
      <c r="I54" s="365"/>
      <c r="K54" s="365"/>
      <c r="M54" s="365"/>
      <c r="O54" s="365"/>
      <c r="Q54" s="365"/>
    </row>
    <row r="55" spans="3:17" x14ac:dyDescent="0.25">
      <c r="C55" s="464"/>
      <c r="I55" s="365"/>
      <c r="K55" s="365"/>
      <c r="M55" s="365"/>
      <c r="O55" s="365"/>
      <c r="Q55" s="365"/>
    </row>
    <row r="56" spans="3:17" x14ac:dyDescent="0.25">
      <c r="C56" s="464"/>
      <c r="I56" s="365"/>
      <c r="K56" s="365"/>
      <c r="M56" s="365"/>
      <c r="O56" s="365"/>
      <c r="Q56" s="365"/>
    </row>
    <row r="57" spans="3:17" x14ac:dyDescent="0.25">
      <c r="C57" s="464"/>
      <c r="I57" s="365"/>
      <c r="K57" s="365"/>
      <c r="M57" s="365"/>
      <c r="O57" s="365"/>
      <c r="Q57" s="365"/>
    </row>
    <row r="58" spans="3:17" x14ac:dyDescent="0.25">
      <c r="C58" s="464"/>
      <c r="I58" s="365"/>
      <c r="K58" s="365"/>
      <c r="M58" s="365"/>
      <c r="O58" s="365"/>
      <c r="Q58" s="365"/>
    </row>
    <row r="59" spans="3:17" x14ac:dyDescent="0.25">
      <c r="C59" s="464"/>
      <c r="I59" s="365"/>
      <c r="K59" s="365"/>
      <c r="M59" s="365"/>
      <c r="O59" s="365"/>
      <c r="Q59" s="365"/>
    </row>
    <row r="60" spans="3:17" x14ac:dyDescent="0.25">
      <c r="C60" s="514"/>
      <c r="D60" s="514"/>
    </row>
    <row r="61" spans="3:17" x14ac:dyDescent="0.25">
      <c r="C61" s="464"/>
    </row>
    <row r="62" spans="3:17" x14ac:dyDescent="0.25">
      <c r="C62" s="464"/>
    </row>
    <row r="63" spans="3:17" x14ac:dyDescent="0.25">
      <c r="C63" s="464"/>
    </row>
    <row r="64" spans="3:17" x14ac:dyDescent="0.25">
      <c r="C64" s="464"/>
    </row>
    <row r="65" spans="3:3" x14ac:dyDescent="0.25">
      <c r="C65" s="464"/>
    </row>
    <row r="66" spans="3:3" x14ac:dyDescent="0.25">
      <c r="C66" s="464"/>
    </row>
    <row r="67" spans="3:3" x14ac:dyDescent="0.25">
      <c r="C67" s="464"/>
    </row>
    <row r="68" spans="3:3" x14ac:dyDescent="0.25">
      <c r="C68" s="464"/>
    </row>
    <row r="69" spans="3:3" x14ac:dyDescent="0.25">
      <c r="C69" s="464"/>
    </row>
    <row r="70" spans="3:3" x14ac:dyDescent="0.25">
      <c r="C70" s="464"/>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9"/>
  <sheetViews>
    <sheetView topLeftCell="C1" zoomScale="85" zoomScaleNormal="85" workbookViewId="0">
      <pane ySplit="7" topLeftCell="A31" activePane="bottomLeft" state="frozen"/>
      <selection activeCell="Q6" sqref="Q6"/>
      <selection pane="bottomLeft" activeCell="G31" sqref="G31"/>
    </sheetView>
  </sheetViews>
  <sheetFormatPr baseColWidth="10" defaultColWidth="12.5703125"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5" customFormat="1" ht="18.75" x14ac:dyDescent="0.3">
      <c r="H1" s="278" t="s">
        <v>1408</v>
      </c>
      <c r="M1" s="278"/>
      <c r="N1" s="278"/>
      <c r="O1" s="278"/>
      <c r="P1" s="513" t="s">
        <v>1632</v>
      </c>
      <c r="Q1" s="513" t="s">
        <v>1633</v>
      </c>
      <c r="R1" s="513" t="s">
        <v>1634</v>
      </c>
      <c r="S1" s="513" t="s">
        <v>1635</v>
      </c>
      <c r="T1" s="513" t="s">
        <v>1636</v>
      </c>
      <c r="U1" s="513" t="s">
        <v>1637</v>
      </c>
    </row>
    <row r="2" spans="1:21" s="275" customFormat="1" ht="18.75" x14ac:dyDescent="0.3">
      <c r="A2" s="320" t="s">
        <v>1351</v>
      </c>
      <c r="H2" s="278"/>
      <c r="M2" s="278"/>
      <c r="N2" s="278"/>
      <c r="O2" s="278"/>
      <c r="P2" s="278"/>
      <c r="Q2" s="278"/>
      <c r="R2" s="278"/>
      <c r="S2" s="278"/>
      <c r="T2" s="278"/>
      <c r="U2" s="278"/>
    </row>
    <row r="3" spans="1:21" s="275" customFormat="1" ht="27.75" customHeight="1" x14ac:dyDescent="0.2">
      <c r="A3" s="772" t="s">
        <v>1410</v>
      </c>
      <c r="B3" s="772"/>
      <c r="C3" s="772"/>
      <c r="D3" s="772"/>
      <c r="E3" s="772"/>
      <c r="F3" s="772"/>
      <c r="G3" s="772"/>
      <c r="H3" s="772"/>
      <c r="I3" s="772"/>
      <c r="J3" s="772"/>
      <c r="K3" s="772"/>
      <c r="L3" s="772"/>
      <c r="M3" s="772"/>
      <c r="N3" s="772"/>
      <c r="O3" s="772"/>
      <c r="P3" s="772"/>
      <c r="Q3" s="772"/>
      <c r="R3" s="772"/>
      <c r="S3" s="772"/>
      <c r="T3" s="772"/>
      <c r="U3" s="772"/>
    </row>
    <row r="4" spans="1:21" s="319" customFormat="1" x14ac:dyDescent="0.25">
      <c r="A4" s="773" t="s">
        <v>1416</v>
      </c>
      <c r="B4" s="773"/>
      <c r="C4" s="773"/>
      <c r="D4" s="773"/>
      <c r="E4" s="773"/>
      <c r="F4" s="773"/>
      <c r="G4" s="773"/>
      <c r="H4" s="773"/>
      <c r="I4" s="773"/>
      <c r="J4" s="773"/>
      <c r="K4" s="773"/>
      <c r="L4" s="773"/>
      <c r="M4" s="773"/>
      <c r="N4" s="773"/>
      <c r="O4" s="773"/>
      <c r="P4" s="773"/>
      <c r="Q4" s="773"/>
      <c r="R4" s="773"/>
      <c r="S4" s="773"/>
      <c r="T4" s="773"/>
      <c r="U4" s="773"/>
    </row>
    <row r="5" spans="1:21" s="66" customFormat="1" ht="23.25" customHeight="1" x14ac:dyDescent="0.25">
      <c r="A5" s="720" t="s">
        <v>96</v>
      </c>
      <c r="B5" s="722" t="s">
        <v>110</v>
      </c>
      <c r="C5" s="732" t="s">
        <v>1530</v>
      </c>
      <c r="D5" s="732" t="s">
        <v>1531</v>
      </c>
      <c r="E5" s="732" t="s">
        <v>86</v>
      </c>
      <c r="F5" s="732" t="s">
        <v>391</v>
      </c>
      <c r="G5" s="732" t="s">
        <v>87</v>
      </c>
      <c r="H5" s="735" t="s">
        <v>99</v>
      </c>
      <c r="I5" s="737"/>
      <c r="J5" s="737"/>
      <c r="K5" s="737"/>
      <c r="L5" s="737"/>
      <c r="M5" s="737"/>
      <c r="N5" s="737"/>
      <c r="O5" s="736"/>
      <c r="P5" s="741" t="s">
        <v>100</v>
      </c>
      <c r="Q5" s="742"/>
      <c r="R5" s="722" t="s">
        <v>102</v>
      </c>
      <c r="S5" s="722" t="s">
        <v>109</v>
      </c>
      <c r="T5" s="722" t="s">
        <v>108</v>
      </c>
      <c r="U5" s="738" t="s">
        <v>88</v>
      </c>
    </row>
    <row r="6" spans="1:21" s="66" customFormat="1" ht="15" customHeight="1" x14ac:dyDescent="0.25">
      <c r="A6" s="720"/>
      <c r="B6" s="720"/>
      <c r="C6" s="733"/>
      <c r="D6" s="733"/>
      <c r="E6" s="733"/>
      <c r="F6" s="733"/>
      <c r="G6" s="733"/>
      <c r="H6" s="735" t="s">
        <v>103</v>
      </c>
      <c r="I6" s="736"/>
      <c r="J6" s="735" t="s">
        <v>104</v>
      </c>
      <c r="K6" s="736"/>
      <c r="L6" s="735" t="s">
        <v>105</v>
      </c>
      <c r="M6" s="736"/>
      <c r="N6" s="735" t="s">
        <v>106</v>
      </c>
      <c r="O6" s="736"/>
      <c r="P6" s="743"/>
      <c r="Q6" s="744"/>
      <c r="R6" s="720"/>
      <c r="S6" s="720"/>
      <c r="T6" s="720"/>
      <c r="U6" s="739"/>
    </row>
    <row r="7" spans="1:21" s="67" customFormat="1" ht="24" customHeight="1" x14ac:dyDescent="0.25">
      <c r="A7" s="721"/>
      <c r="B7" s="721"/>
      <c r="C7" s="734"/>
      <c r="D7" s="734"/>
      <c r="E7" s="734"/>
      <c r="F7" s="734"/>
      <c r="G7" s="734"/>
      <c r="H7" s="440" t="s">
        <v>107</v>
      </c>
      <c r="I7" s="440" t="s">
        <v>12</v>
      </c>
      <c r="J7" s="440" t="s">
        <v>107</v>
      </c>
      <c r="K7" s="440" t="s">
        <v>12</v>
      </c>
      <c r="L7" s="440" t="s">
        <v>107</v>
      </c>
      <c r="M7" s="440" t="s">
        <v>12</v>
      </c>
      <c r="N7" s="440" t="s">
        <v>107</v>
      </c>
      <c r="O7" s="440" t="s">
        <v>12</v>
      </c>
      <c r="P7" s="440" t="s">
        <v>107</v>
      </c>
      <c r="Q7" s="440" t="s">
        <v>12</v>
      </c>
      <c r="R7" s="721"/>
      <c r="S7" s="721"/>
      <c r="T7" s="721"/>
      <c r="U7" s="740"/>
    </row>
    <row r="8" spans="1:21" s="259" customFormat="1" ht="15.75" x14ac:dyDescent="0.25">
      <c r="A8" s="441"/>
      <c r="B8" s="442"/>
      <c r="C8" s="443"/>
      <c r="D8" s="443"/>
      <c r="E8" s="443"/>
      <c r="F8" s="444"/>
      <c r="G8" s="443"/>
      <c r="H8" s="445"/>
      <c r="I8" s="445"/>
      <c r="J8" s="445"/>
      <c r="K8" s="445"/>
      <c r="L8" s="445"/>
      <c r="M8" s="445"/>
      <c r="N8" s="445"/>
      <c r="O8" s="445"/>
      <c r="P8" s="445"/>
      <c r="Q8" s="445"/>
      <c r="R8" s="446"/>
      <c r="S8" s="446"/>
      <c r="T8" s="446"/>
      <c r="U8" s="447"/>
    </row>
    <row r="9" spans="1:21" ht="15.75" x14ac:dyDescent="0.25">
      <c r="A9" s="748" t="s">
        <v>1411</v>
      </c>
      <c r="B9" s="745" t="s">
        <v>1412</v>
      </c>
      <c r="C9" s="276"/>
      <c r="D9" s="276"/>
      <c r="E9" s="276"/>
      <c r="F9" s="276"/>
      <c r="G9" s="276"/>
      <c r="H9" s="362"/>
      <c r="I9" s="363"/>
      <c r="J9" s="276"/>
      <c r="K9" s="363"/>
      <c r="L9" s="276"/>
      <c r="M9" s="363"/>
      <c r="N9" s="276"/>
      <c r="O9" s="363"/>
      <c r="P9" s="400">
        <f t="shared" ref="P9:Q9" si="0">H9+J9+L9+N9</f>
        <v>0</v>
      </c>
      <c r="Q9" s="401">
        <f t="shared" si="0"/>
        <v>0</v>
      </c>
      <c r="R9" s="276"/>
      <c r="S9" s="276"/>
      <c r="T9" s="276"/>
      <c r="U9" s="276"/>
    </row>
    <row r="10" spans="1:21" ht="15.75" x14ac:dyDescent="0.25">
      <c r="A10" s="748"/>
      <c r="B10" s="746"/>
      <c r="C10" s="276"/>
      <c r="D10" s="276"/>
      <c r="E10" s="276"/>
      <c r="F10" s="276"/>
      <c r="G10" s="276"/>
      <c r="H10" s="362"/>
      <c r="I10" s="363"/>
      <c r="J10" s="276"/>
      <c r="K10" s="363"/>
      <c r="L10" s="276"/>
      <c r="M10" s="363"/>
      <c r="N10" s="276"/>
      <c r="O10" s="363"/>
      <c r="P10" s="400">
        <f t="shared" ref="P10:P73" si="1">H10+J10+L10+N10</f>
        <v>0</v>
      </c>
      <c r="Q10" s="401">
        <f t="shared" ref="Q10:Q73" si="2">I10+K10+M10+O10</f>
        <v>0</v>
      </c>
      <c r="R10" s="276"/>
      <c r="S10" s="276"/>
      <c r="T10" s="276"/>
      <c r="U10" s="276"/>
    </row>
    <row r="11" spans="1:21" s="365" customFormat="1" ht="15.75" x14ac:dyDescent="0.25">
      <c r="A11" s="748"/>
      <c r="B11" s="746"/>
      <c r="C11" s="276"/>
      <c r="D11" s="276"/>
      <c r="E11" s="276"/>
      <c r="F11" s="276"/>
      <c r="G11" s="276"/>
      <c r="H11" s="362"/>
      <c r="I11" s="363"/>
      <c r="J11" s="276"/>
      <c r="K11" s="363"/>
      <c r="L11" s="276"/>
      <c r="M11" s="363"/>
      <c r="N11" s="276"/>
      <c r="O11" s="363"/>
      <c r="P11" s="400">
        <f t="shared" si="1"/>
        <v>0</v>
      </c>
      <c r="Q11" s="401">
        <f t="shared" si="2"/>
        <v>0</v>
      </c>
      <c r="R11" s="276"/>
      <c r="S11" s="276"/>
      <c r="T11" s="276"/>
      <c r="U11" s="276"/>
    </row>
    <row r="12" spans="1:21" ht="15.75" x14ac:dyDescent="0.25">
      <c r="A12" s="748"/>
      <c r="B12" s="746"/>
      <c r="C12" s="276"/>
      <c r="D12" s="276"/>
      <c r="E12" s="276"/>
      <c r="F12" s="276"/>
      <c r="G12" s="276"/>
      <c r="H12" s="362"/>
      <c r="I12" s="363"/>
      <c r="J12" s="276"/>
      <c r="K12" s="363"/>
      <c r="L12" s="276"/>
      <c r="M12" s="363"/>
      <c r="N12" s="276"/>
      <c r="O12" s="363"/>
      <c r="P12" s="400">
        <f t="shared" si="1"/>
        <v>0</v>
      </c>
      <c r="Q12" s="401">
        <f t="shared" si="2"/>
        <v>0</v>
      </c>
      <c r="R12" s="276"/>
      <c r="S12" s="276"/>
      <c r="T12" s="276"/>
      <c r="U12" s="276"/>
    </row>
    <row r="13" spans="1:21" ht="15.75" x14ac:dyDescent="0.25">
      <c r="A13" s="748"/>
      <c r="B13" s="746"/>
      <c r="C13" s="276"/>
      <c r="D13" s="276"/>
      <c r="E13" s="276"/>
      <c r="F13" s="276"/>
      <c r="G13" s="276"/>
      <c r="H13" s="362"/>
      <c r="I13" s="363"/>
      <c r="J13" s="276"/>
      <c r="K13" s="363"/>
      <c r="L13" s="276"/>
      <c r="M13" s="363"/>
      <c r="N13" s="276"/>
      <c r="O13" s="363"/>
      <c r="P13" s="400">
        <f t="shared" si="1"/>
        <v>0</v>
      </c>
      <c r="Q13" s="401">
        <f t="shared" si="2"/>
        <v>0</v>
      </c>
      <c r="R13" s="276"/>
      <c r="S13" s="276"/>
      <c r="T13" s="276"/>
      <c r="U13" s="276"/>
    </row>
    <row r="14" spans="1:21" ht="15.75" x14ac:dyDescent="0.25">
      <c r="A14" s="748"/>
      <c r="B14" s="747"/>
      <c r="C14" s="276"/>
      <c r="D14" s="276"/>
      <c r="E14" s="276"/>
      <c r="F14" s="276"/>
      <c r="G14" s="276"/>
      <c r="H14" s="362"/>
      <c r="I14" s="363"/>
      <c r="J14" s="276"/>
      <c r="K14" s="363"/>
      <c r="L14" s="276"/>
      <c r="M14" s="363"/>
      <c r="N14" s="276"/>
      <c r="O14" s="363"/>
      <c r="P14" s="400">
        <f t="shared" si="1"/>
        <v>0</v>
      </c>
      <c r="Q14" s="401">
        <f t="shared" si="2"/>
        <v>0</v>
      </c>
      <c r="R14" s="276"/>
      <c r="S14" s="276"/>
      <c r="T14" s="276"/>
      <c r="U14" s="276"/>
    </row>
    <row r="15" spans="1:21" s="464" customFormat="1" ht="141.75" customHeight="1" x14ac:dyDescent="0.25">
      <c r="A15" s="748"/>
      <c r="B15" s="768" t="s">
        <v>1413</v>
      </c>
      <c r="C15" s="276" t="s">
        <v>1633</v>
      </c>
      <c r="D15" s="276"/>
      <c r="E15" s="276"/>
      <c r="F15" s="276" t="s">
        <v>1729</v>
      </c>
      <c r="G15" s="530" t="s">
        <v>1742</v>
      </c>
      <c r="H15" s="362"/>
      <c r="I15" s="363"/>
      <c r="J15" s="362">
        <v>1</v>
      </c>
      <c r="K15" s="363">
        <f>+'7. Infraestructura'!D10</f>
        <v>248000</v>
      </c>
      <c r="L15" s="276"/>
      <c r="M15" s="363"/>
      <c r="N15" s="276"/>
      <c r="O15" s="363"/>
      <c r="P15" s="400">
        <f t="shared" ref="P15:P30" si="3">H15+J15+L15+N15</f>
        <v>1</v>
      </c>
      <c r="Q15" s="401">
        <f t="shared" ref="Q15:Q30" si="4">I15+K15+M15+O15</f>
        <v>248000</v>
      </c>
      <c r="R15" s="557" t="s">
        <v>1746</v>
      </c>
      <c r="S15" s="570" t="s">
        <v>1743</v>
      </c>
      <c r="T15" s="276" t="s">
        <v>1744</v>
      </c>
      <c r="U15" s="571" t="s">
        <v>1745</v>
      </c>
    </row>
    <row r="16" spans="1:21" s="464" customFormat="1" ht="104.25" customHeight="1" x14ac:dyDescent="0.25">
      <c r="A16" s="748"/>
      <c r="B16" s="746"/>
      <c r="C16" s="276"/>
      <c r="D16" s="276"/>
      <c r="E16" s="276"/>
      <c r="F16" s="276" t="s">
        <v>1954</v>
      </c>
      <c r="G16" s="588" t="s">
        <v>1953</v>
      </c>
      <c r="H16" s="362"/>
      <c r="I16" s="363"/>
      <c r="J16" s="362">
        <v>1</v>
      </c>
      <c r="K16" s="363">
        <f>+'7. Infraestructura'!D21</f>
        <v>1796187.0699999998</v>
      </c>
      <c r="L16" s="276"/>
      <c r="M16" s="363"/>
      <c r="N16" s="276"/>
      <c r="O16" s="363"/>
      <c r="P16" s="400">
        <f t="shared" ref="P16:P26" si="5">H16+J16+L16+N16</f>
        <v>1</v>
      </c>
      <c r="Q16" s="401">
        <f t="shared" ref="Q16:Q26" si="6">I16+K16+M16+O16</f>
        <v>1796187.0699999998</v>
      </c>
      <c r="R16" s="589" t="s">
        <v>1955</v>
      </c>
      <c r="S16" s="276" t="s">
        <v>1956</v>
      </c>
      <c r="T16" s="276" t="s">
        <v>1733</v>
      </c>
      <c r="U16" s="529" t="s">
        <v>1957</v>
      </c>
    </row>
    <row r="17" spans="1:21" s="464" customFormat="1" ht="141.75" x14ac:dyDescent="0.25">
      <c r="A17" s="748"/>
      <c r="B17" s="746"/>
      <c r="C17" s="276"/>
      <c r="D17" s="276"/>
      <c r="E17" s="276"/>
      <c r="F17" s="276" t="s">
        <v>2295</v>
      </c>
      <c r="G17" s="525" t="s">
        <v>2294</v>
      </c>
      <c r="H17" s="362"/>
      <c r="I17" s="363"/>
      <c r="J17" s="362">
        <v>1</v>
      </c>
      <c r="K17" s="363"/>
      <c r="L17" s="276"/>
      <c r="M17" s="363"/>
      <c r="N17" s="276"/>
      <c r="O17" s="363"/>
      <c r="P17" s="400">
        <f t="shared" ref="P17:P23" si="7">H17+J17+L17+N17</f>
        <v>1</v>
      </c>
      <c r="Q17" s="401">
        <f t="shared" ref="Q17:Q23" si="8">I17+K17+M17+O17</f>
        <v>0</v>
      </c>
      <c r="R17" s="531" t="s">
        <v>2296</v>
      </c>
      <c r="S17" s="276" t="s">
        <v>2297</v>
      </c>
      <c r="T17" s="276" t="s">
        <v>1733</v>
      </c>
      <c r="U17" s="529" t="s">
        <v>2298</v>
      </c>
    </row>
    <row r="18" spans="1:21" s="464" customFormat="1" ht="153" x14ac:dyDescent="0.25">
      <c r="A18" s="748"/>
      <c r="B18" s="746"/>
      <c r="C18" s="276"/>
      <c r="D18" s="276"/>
      <c r="E18" s="276"/>
      <c r="F18" s="276" t="s">
        <v>2300</v>
      </c>
      <c r="G18" s="530" t="s">
        <v>2299</v>
      </c>
      <c r="H18" s="362"/>
      <c r="I18" s="363"/>
      <c r="J18" s="362">
        <v>1</v>
      </c>
      <c r="K18" s="363">
        <f>+'7. Infraestructura'!D39</f>
        <v>0</v>
      </c>
      <c r="L18" s="276"/>
      <c r="M18" s="363"/>
      <c r="N18" s="276"/>
      <c r="O18" s="363"/>
      <c r="P18" s="400">
        <f t="shared" si="7"/>
        <v>1</v>
      </c>
      <c r="Q18" s="401">
        <f t="shared" si="8"/>
        <v>0</v>
      </c>
      <c r="R18" s="527" t="s">
        <v>2307</v>
      </c>
      <c r="S18" s="527" t="s">
        <v>2308</v>
      </c>
      <c r="T18" s="527" t="s">
        <v>1919</v>
      </c>
      <c r="U18" s="527" t="s">
        <v>1745</v>
      </c>
    </row>
    <row r="19" spans="1:21" s="464" customFormat="1" ht="140.25" x14ac:dyDescent="0.25">
      <c r="A19" s="748"/>
      <c r="B19" s="746"/>
      <c r="C19" s="276"/>
      <c r="D19" s="276"/>
      <c r="E19" s="276"/>
      <c r="F19" s="276" t="s">
        <v>2304</v>
      </c>
      <c r="G19" s="361" t="s">
        <v>2301</v>
      </c>
      <c r="H19" s="362"/>
      <c r="I19" s="363"/>
      <c r="J19" s="362">
        <v>1</v>
      </c>
      <c r="K19" s="363">
        <f>+'7. Infraestructura'!D49</f>
        <v>1767950</v>
      </c>
      <c r="L19" s="276"/>
      <c r="M19" s="363"/>
      <c r="N19" s="276"/>
      <c r="O19" s="363"/>
      <c r="P19" s="400">
        <f t="shared" si="7"/>
        <v>1</v>
      </c>
      <c r="Q19" s="401">
        <f t="shared" si="8"/>
        <v>1767950</v>
      </c>
      <c r="R19" s="527" t="s">
        <v>2309</v>
      </c>
      <c r="S19" s="527" t="s">
        <v>1743</v>
      </c>
      <c r="T19" s="527" t="s">
        <v>2310</v>
      </c>
      <c r="U19" s="528" t="s">
        <v>2311</v>
      </c>
    </row>
    <row r="20" spans="1:21" s="464" customFormat="1" ht="110.25" x14ac:dyDescent="0.25">
      <c r="A20" s="748"/>
      <c r="B20" s="746"/>
      <c r="C20" s="276"/>
      <c r="D20" s="276"/>
      <c r="E20" s="276"/>
      <c r="F20" s="276" t="s">
        <v>2305</v>
      </c>
      <c r="G20" s="361" t="s">
        <v>2302</v>
      </c>
      <c r="H20" s="362"/>
      <c r="I20" s="363"/>
      <c r="J20" s="362">
        <v>1</v>
      </c>
      <c r="K20" s="363">
        <f>+'7. Infraestructura'!D79</f>
        <v>0</v>
      </c>
      <c r="L20" s="276"/>
      <c r="M20" s="363"/>
      <c r="N20" s="276"/>
      <c r="O20" s="363"/>
      <c r="P20" s="400">
        <f t="shared" si="7"/>
        <v>1</v>
      </c>
      <c r="Q20" s="401">
        <f t="shared" si="8"/>
        <v>0</v>
      </c>
      <c r="R20" s="276" t="s">
        <v>2312</v>
      </c>
      <c r="S20" s="276" t="s">
        <v>2313</v>
      </c>
      <c r="T20" s="527" t="s">
        <v>2310</v>
      </c>
      <c r="U20" s="528" t="s">
        <v>2311</v>
      </c>
    </row>
    <row r="21" spans="1:21" s="464" customFormat="1" ht="153" x14ac:dyDescent="0.25">
      <c r="A21" s="748"/>
      <c r="B21" s="746"/>
      <c r="C21" s="276"/>
      <c r="D21" s="276"/>
      <c r="E21" s="276"/>
      <c r="F21" s="276" t="s">
        <v>2306</v>
      </c>
      <c r="G21" s="646" t="s">
        <v>2303</v>
      </c>
      <c r="H21" s="362"/>
      <c r="I21" s="363"/>
      <c r="J21" s="362">
        <v>1</v>
      </c>
      <c r="K21" s="363">
        <f>+'7. Infraestructura'!D89</f>
        <v>0</v>
      </c>
      <c r="L21" s="276"/>
      <c r="M21" s="363"/>
      <c r="N21" s="276"/>
      <c r="O21" s="363"/>
      <c r="P21" s="400">
        <f t="shared" si="7"/>
        <v>1</v>
      </c>
      <c r="Q21" s="401">
        <f t="shared" si="8"/>
        <v>0</v>
      </c>
      <c r="R21" s="539" t="s">
        <v>2314</v>
      </c>
      <c r="S21" s="539" t="s">
        <v>1743</v>
      </c>
      <c r="T21" s="539" t="s">
        <v>1744</v>
      </c>
      <c r="U21" s="528" t="s">
        <v>1745</v>
      </c>
    </row>
    <row r="22" spans="1:21" s="464" customFormat="1" ht="15.75" x14ac:dyDescent="0.25">
      <c r="A22" s="748"/>
      <c r="B22" s="746"/>
      <c r="C22" s="276"/>
      <c r="D22" s="276"/>
      <c r="E22" s="276"/>
      <c r="F22" s="276"/>
      <c r="G22" s="588"/>
      <c r="H22" s="362"/>
      <c r="I22" s="363"/>
      <c r="J22" s="362"/>
      <c r="K22" s="363"/>
      <c r="L22" s="276"/>
      <c r="M22" s="363"/>
      <c r="N22" s="276"/>
      <c r="O22" s="363"/>
      <c r="P22" s="400">
        <f t="shared" si="7"/>
        <v>0</v>
      </c>
      <c r="Q22" s="401">
        <f t="shared" si="8"/>
        <v>0</v>
      </c>
      <c r="R22" s="569"/>
      <c r="S22" s="276"/>
      <c r="T22" s="276"/>
      <c r="U22" s="529"/>
    </row>
    <row r="23" spans="1:21" s="464" customFormat="1" ht="15.75" x14ac:dyDescent="0.25">
      <c r="A23" s="748"/>
      <c r="B23" s="746"/>
      <c r="C23" s="276"/>
      <c r="D23" s="276"/>
      <c r="E23" s="276"/>
      <c r="F23" s="276"/>
      <c r="G23" s="588"/>
      <c r="H23" s="362"/>
      <c r="I23" s="363"/>
      <c r="J23" s="362"/>
      <c r="K23" s="363"/>
      <c r="L23" s="276"/>
      <c r="M23" s="363"/>
      <c r="N23" s="276"/>
      <c r="O23" s="363"/>
      <c r="P23" s="400">
        <f t="shared" si="7"/>
        <v>0</v>
      </c>
      <c r="Q23" s="401">
        <f t="shared" si="8"/>
        <v>0</v>
      </c>
      <c r="R23" s="569"/>
      <c r="S23" s="276"/>
      <c r="T23" s="276"/>
      <c r="U23" s="529"/>
    </row>
    <row r="24" spans="1:21" s="464" customFormat="1" ht="15.75" x14ac:dyDescent="0.25">
      <c r="A24" s="748"/>
      <c r="B24" s="746"/>
      <c r="C24" s="276"/>
      <c r="D24" s="276"/>
      <c r="E24" s="276"/>
      <c r="F24" s="276"/>
      <c r="G24" s="530"/>
      <c r="H24" s="362"/>
      <c r="I24" s="363"/>
      <c r="J24" s="362"/>
      <c r="K24" s="363"/>
      <c r="L24" s="276"/>
      <c r="M24" s="363"/>
      <c r="N24" s="276"/>
      <c r="O24" s="363"/>
      <c r="P24" s="400">
        <f t="shared" si="5"/>
        <v>0</v>
      </c>
      <c r="Q24" s="401">
        <f t="shared" si="6"/>
        <v>0</v>
      </c>
      <c r="R24" s="569"/>
      <c r="S24" s="539"/>
      <c r="T24" s="539"/>
      <c r="U24" s="528"/>
    </row>
    <row r="25" spans="1:21" s="464" customFormat="1" ht="15.75" x14ac:dyDescent="0.25">
      <c r="A25" s="748"/>
      <c r="B25" s="746"/>
      <c r="C25" s="276"/>
      <c r="D25" s="276"/>
      <c r="E25" s="276"/>
      <c r="F25" s="276"/>
      <c r="G25" s="530"/>
      <c r="H25" s="362"/>
      <c r="I25" s="363"/>
      <c r="J25" s="362"/>
      <c r="K25" s="363"/>
      <c r="L25" s="276"/>
      <c r="M25" s="363"/>
      <c r="N25" s="276"/>
      <c r="O25" s="363"/>
      <c r="P25" s="400">
        <f t="shared" si="5"/>
        <v>0</v>
      </c>
      <c r="Q25" s="401">
        <f t="shared" si="6"/>
        <v>0</v>
      </c>
      <c r="R25" s="569"/>
      <c r="S25" s="539"/>
      <c r="T25" s="539"/>
      <c r="U25" s="528"/>
    </row>
    <row r="26" spans="1:21" s="464" customFormat="1" ht="15.75" x14ac:dyDescent="0.25">
      <c r="A26" s="748"/>
      <c r="B26" s="746"/>
      <c r="C26" s="276"/>
      <c r="D26" s="276"/>
      <c r="E26" s="276"/>
      <c r="F26" s="276"/>
      <c r="G26" s="530"/>
      <c r="H26" s="362"/>
      <c r="I26" s="363"/>
      <c r="J26" s="362"/>
      <c r="K26" s="363"/>
      <c r="L26" s="276"/>
      <c r="M26" s="363"/>
      <c r="N26" s="276"/>
      <c r="O26" s="363"/>
      <c r="P26" s="400">
        <f t="shared" si="5"/>
        <v>0</v>
      </c>
      <c r="Q26" s="401">
        <f t="shared" si="6"/>
        <v>0</v>
      </c>
      <c r="R26" s="569"/>
      <c r="S26" s="539"/>
      <c r="T26" s="539"/>
      <c r="U26" s="528"/>
    </row>
    <row r="27" spans="1:21" s="464" customFormat="1" ht="15.75" x14ac:dyDescent="0.25">
      <c r="A27" s="748"/>
      <c r="B27" s="746"/>
      <c r="C27" s="276"/>
      <c r="D27" s="276"/>
      <c r="E27" s="276"/>
      <c r="F27" s="276"/>
      <c r="G27" s="530"/>
      <c r="H27" s="362"/>
      <c r="I27" s="363"/>
      <c r="J27" s="362"/>
      <c r="K27" s="363"/>
      <c r="L27" s="276"/>
      <c r="M27" s="363"/>
      <c r="N27" s="276"/>
      <c r="O27" s="363"/>
      <c r="P27" s="400">
        <f t="shared" si="3"/>
        <v>0</v>
      </c>
      <c r="Q27" s="401">
        <f t="shared" si="4"/>
        <v>0</v>
      </c>
      <c r="R27" s="569"/>
      <c r="S27" s="539"/>
      <c r="T27" s="539"/>
      <c r="U27" s="528"/>
    </row>
    <row r="28" spans="1:21" s="464" customFormat="1" ht="15.75" x14ac:dyDescent="0.25">
      <c r="A28" s="748"/>
      <c r="B28" s="746"/>
      <c r="C28" s="276"/>
      <c r="D28" s="276"/>
      <c r="E28" s="276"/>
      <c r="F28" s="276"/>
      <c r="G28" s="530"/>
      <c r="H28" s="362"/>
      <c r="I28" s="363"/>
      <c r="J28" s="362"/>
      <c r="K28" s="363"/>
      <c r="L28" s="276"/>
      <c r="M28" s="363"/>
      <c r="N28" s="276"/>
      <c r="O28" s="363"/>
      <c r="P28" s="400">
        <f t="shared" si="3"/>
        <v>0</v>
      </c>
      <c r="Q28" s="401">
        <f t="shared" si="4"/>
        <v>0</v>
      </c>
      <c r="R28" s="569"/>
      <c r="S28" s="539"/>
      <c r="T28" s="539"/>
      <c r="U28" s="528"/>
    </row>
    <row r="29" spans="1:21" s="464" customFormat="1" ht="15.75" x14ac:dyDescent="0.25">
      <c r="A29" s="748"/>
      <c r="B29" s="746"/>
      <c r="C29" s="276"/>
      <c r="D29" s="276"/>
      <c r="E29" s="276"/>
      <c r="F29" s="276"/>
      <c r="G29" s="530"/>
      <c r="H29" s="362"/>
      <c r="I29" s="363"/>
      <c r="J29" s="362"/>
      <c r="K29" s="363"/>
      <c r="L29" s="276"/>
      <c r="M29" s="363"/>
      <c r="N29" s="276"/>
      <c r="O29" s="363"/>
      <c r="P29" s="400">
        <f t="shared" si="3"/>
        <v>0</v>
      </c>
      <c r="Q29" s="401">
        <f t="shared" si="4"/>
        <v>0</v>
      </c>
      <c r="R29" s="569"/>
      <c r="S29" s="539"/>
      <c r="T29" s="539"/>
      <c r="U29" s="528"/>
    </row>
    <row r="30" spans="1:21" s="464" customFormat="1" ht="15.75" x14ac:dyDescent="0.25">
      <c r="A30" s="748"/>
      <c r="B30" s="747"/>
      <c r="C30" s="276"/>
      <c r="D30" s="276"/>
      <c r="E30" s="276"/>
      <c r="F30" s="276"/>
      <c r="G30" s="530"/>
      <c r="H30" s="362"/>
      <c r="I30" s="363"/>
      <c r="J30" s="362"/>
      <c r="K30" s="363"/>
      <c r="L30" s="276"/>
      <c r="M30" s="363"/>
      <c r="N30" s="276"/>
      <c r="O30" s="363"/>
      <c r="P30" s="400">
        <f t="shared" si="3"/>
        <v>0</v>
      </c>
      <c r="Q30" s="401">
        <f t="shared" si="4"/>
        <v>0</v>
      </c>
      <c r="R30" s="569"/>
      <c r="S30" s="539"/>
      <c r="T30" s="539"/>
      <c r="U30" s="528"/>
    </row>
    <row r="31" spans="1:21" ht="140.25" customHeight="1" x14ac:dyDescent="0.25">
      <c r="A31" s="748"/>
      <c r="B31" s="745" t="s">
        <v>1414</v>
      </c>
      <c r="C31" s="769" t="s">
        <v>1635</v>
      </c>
      <c r="D31" s="769" t="s">
        <v>1730</v>
      </c>
      <c r="E31" s="769" t="s">
        <v>1813</v>
      </c>
      <c r="F31" s="276" t="s">
        <v>1735</v>
      </c>
      <c r="G31" s="525" t="s">
        <v>2626</v>
      </c>
      <c r="H31" s="362"/>
      <c r="I31" s="363"/>
      <c r="J31" s="362">
        <v>1</v>
      </c>
      <c r="K31" s="363">
        <f>+'3. EQUIPO DE OFICINA'!D10+'4. EQUIPO TECNOLÓGICOS'!D10</f>
        <v>70000</v>
      </c>
      <c r="L31" s="276"/>
      <c r="M31" s="363"/>
      <c r="N31" s="276"/>
      <c r="O31" s="363"/>
      <c r="P31" s="400">
        <f t="shared" si="1"/>
        <v>1</v>
      </c>
      <c r="Q31" s="401">
        <f t="shared" si="2"/>
        <v>70000</v>
      </c>
      <c r="R31" s="526" t="s">
        <v>1731</v>
      </c>
      <c r="S31" s="527" t="s">
        <v>1732</v>
      </c>
      <c r="T31" s="528" t="s">
        <v>1733</v>
      </c>
      <c r="U31" s="529" t="s">
        <v>1734</v>
      </c>
    </row>
    <row r="32" spans="1:21" s="365" customFormat="1" ht="15.75" x14ac:dyDescent="0.25">
      <c r="A32" s="748"/>
      <c r="B32" s="746"/>
      <c r="C32" s="770"/>
      <c r="D32" s="770"/>
      <c r="E32" s="770"/>
      <c r="F32" s="276"/>
      <c r="G32" s="530"/>
      <c r="H32" s="362"/>
      <c r="I32" s="363"/>
      <c r="J32" s="362"/>
      <c r="K32" s="363"/>
      <c r="L32" s="276"/>
      <c r="M32" s="363"/>
      <c r="N32" s="276"/>
      <c r="O32" s="363"/>
      <c r="P32" s="400"/>
      <c r="Q32" s="401"/>
      <c r="R32" s="531"/>
      <c r="S32" s="527"/>
      <c r="T32" s="528"/>
      <c r="U32" s="529"/>
    </row>
    <row r="33" spans="1:21" s="365" customFormat="1" ht="252" x14ac:dyDescent="0.25">
      <c r="A33" s="748"/>
      <c r="B33" s="746"/>
      <c r="C33" s="770"/>
      <c r="D33" s="770"/>
      <c r="E33" s="770"/>
      <c r="F33" s="276" t="s">
        <v>1817</v>
      </c>
      <c r="G33" s="525" t="s">
        <v>1814</v>
      </c>
      <c r="H33" s="362">
        <v>1</v>
      </c>
      <c r="I33" s="363">
        <f>+'3. EQUIPO DE OFICINA'!D23+'4. EQUIPO TECNOLÓGICOS'!D20</f>
        <v>31000</v>
      </c>
      <c r="J33" s="276"/>
      <c r="K33" s="363"/>
      <c r="L33" s="276"/>
      <c r="M33" s="363"/>
      <c r="N33" s="276"/>
      <c r="O33" s="363"/>
      <c r="P33" s="400">
        <f t="shared" si="1"/>
        <v>1</v>
      </c>
      <c r="Q33" s="401">
        <f t="shared" si="2"/>
        <v>31000</v>
      </c>
      <c r="R33" s="551" t="s">
        <v>1815</v>
      </c>
      <c r="S33" s="527" t="s">
        <v>1732</v>
      </c>
      <c r="T33" s="528" t="s">
        <v>1733</v>
      </c>
      <c r="U33" s="276" t="s">
        <v>1816</v>
      </c>
    </row>
    <row r="34" spans="1:21" s="365" customFormat="1" ht="153" x14ac:dyDescent="0.25">
      <c r="A34" s="748"/>
      <c r="B34" s="746"/>
      <c r="C34" s="771"/>
      <c r="D34" s="771"/>
      <c r="E34" s="771"/>
      <c r="F34" s="276" t="s">
        <v>1873</v>
      </c>
      <c r="G34" s="568" t="s">
        <v>1872</v>
      </c>
      <c r="H34" s="362"/>
      <c r="I34" s="363"/>
      <c r="J34" s="362">
        <v>1</v>
      </c>
      <c r="K34" s="363">
        <f>+'5. ACTIVIDADES ESPECIALES'!D100</f>
        <v>392578</v>
      </c>
      <c r="L34" s="276"/>
      <c r="M34" s="363"/>
      <c r="N34" s="276"/>
      <c r="O34" s="363"/>
      <c r="P34" s="400">
        <f t="shared" si="1"/>
        <v>1</v>
      </c>
      <c r="Q34" s="401">
        <f t="shared" si="2"/>
        <v>392578</v>
      </c>
      <c r="R34" s="526" t="s">
        <v>1874</v>
      </c>
      <c r="S34" s="527" t="s">
        <v>1732</v>
      </c>
      <c r="T34" s="528" t="s">
        <v>1733</v>
      </c>
      <c r="U34" s="276" t="s">
        <v>1875</v>
      </c>
    </row>
    <row r="35" spans="1:21" ht="63" customHeight="1" x14ac:dyDescent="0.25">
      <c r="A35" s="748"/>
      <c r="B35" s="746"/>
      <c r="C35" s="276"/>
      <c r="D35" s="276"/>
      <c r="E35" s="624" t="s">
        <v>1813</v>
      </c>
      <c r="F35" s="276" t="s">
        <v>1877</v>
      </c>
      <c r="G35" s="276" t="s">
        <v>1878</v>
      </c>
      <c r="H35" s="362">
        <v>1</v>
      </c>
      <c r="I35" s="363">
        <f>+'5. ACTIVIDADES ESPECIALES'!D161</f>
        <v>3671</v>
      </c>
      <c r="J35" s="276"/>
      <c r="K35" s="363"/>
      <c r="L35" s="276"/>
      <c r="M35" s="363"/>
      <c r="N35" s="276"/>
      <c r="O35" s="363"/>
      <c r="P35" s="400">
        <f t="shared" si="1"/>
        <v>1</v>
      </c>
      <c r="Q35" s="401">
        <f t="shared" si="2"/>
        <v>3671</v>
      </c>
      <c r="R35" s="556" t="s">
        <v>1879</v>
      </c>
      <c r="S35" s="572" t="s">
        <v>1880</v>
      </c>
      <c r="T35" s="528" t="s">
        <v>1733</v>
      </c>
      <c r="U35" s="276" t="s">
        <v>1881</v>
      </c>
    </row>
    <row r="36" spans="1:21" ht="58.5" customHeight="1" x14ac:dyDescent="0.25">
      <c r="A36" s="748"/>
      <c r="B36" s="747"/>
      <c r="C36" s="276"/>
      <c r="D36" s="276"/>
      <c r="E36" s="624"/>
      <c r="F36" s="276"/>
      <c r="G36" s="525"/>
      <c r="H36" s="362"/>
      <c r="I36" s="363"/>
      <c r="J36" s="362"/>
      <c r="K36" s="363"/>
      <c r="L36" s="276"/>
      <c r="M36" s="363"/>
      <c r="N36" s="276"/>
      <c r="O36" s="363"/>
      <c r="P36" s="400"/>
      <c r="Q36" s="401"/>
      <c r="R36" s="531"/>
      <c r="S36" s="527"/>
      <c r="T36" s="528"/>
      <c r="U36" s="276"/>
    </row>
    <row r="37" spans="1:21" s="365" customFormat="1" ht="56.25" customHeight="1" x14ac:dyDescent="0.25">
      <c r="A37" s="748"/>
      <c r="C37" s="276"/>
      <c r="D37" s="276"/>
      <c r="E37" s="624" t="s">
        <v>1813</v>
      </c>
      <c r="F37" s="276" t="s">
        <v>1889</v>
      </c>
      <c r="G37" s="525" t="s">
        <v>1888</v>
      </c>
      <c r="H37" s="362">
        <v>1</v>
      </c>
      <c r="I37" s="363">
        <f>+'5. ACTIVIDADES ESPECIALES'!D177</f>
        <v>3200</v>
      </c>
      <c r="J37" s="276"/>
      <c r="K37" s="363"/>
      <c r="L37" s="276"/>
      <c r="M37" s="363"/>
      <c r="N37" s="276"/>
      <c r="O37" s="363"/>
      <c r="P37" s="400">
        <f t="shared" si="1"/>
        <v>1</v>
      </c>
      <c r="Q37" s="401">
        <f t="shared" si="2"/>
        <v>3200</v>
      </c>
      <c r="R37" s="556" t="s">
        <v>1890</v>
      </c>
      <c r="S37" s="276" t="s">
        <v>1892</v>
      </c>
      <c r="T37" s="528" t="s">
        <v>1733</v>
      </c>
      <c r="U37" s="276" t="s">
        <v>1891</v>
      </c>
    </row>
    <row r="38" spans="1:21" s="365" customFormat="1" ht="220.5" x14ac:dyDescent="0.25">
      <c r="A38" s="748"/>
      <c r="C38" s="276"/>
      <c r="D38" s="276"/>
      <c r="E38" s="624" t="s">
        <v>1813</v>
      </c>
      <c r="F38" s="276" t="s">
        <v>1971</v>
      </c>
      <c r="G38" s="568" t="s">
        <v>1970</v>
      </c>
      <c r="H38" s="362"/>
      <c r="I38" s="363"/>
      <c r="J38" s="362">
        <v>1</v>
      </c>
      <c r="K38" s="363">
        <f>+'3. EQUIPO DE OFICINA'!D33+'4. EQUIPO TECNOLÓGICOS'!D32</f>
        <v>126000</v>
      </c>
      <c r="L38" s="276"/>
      <c r="M38" s="363"/>
      <c r="N38" s="276"/>
      <c r="O38" s="363"/>
      <c r="P38" s="400">
        <f t="shared" si="1"/>
        <v>1</v>
      </c>
      <c r="Q38" s="401">
        <f t="shared" si="2"/>
        <v>126000</v>
      </c>
      <c r="R38" s="590" t="s">
        <v>1972</v>
      </c>
      <c r="S38" s="528" t="s">
        <v>1973</v>
      </c>
      <c r="T38" s="276" t="s">
        <v>1919</v>
      </c>
      <c r="U38" s="528" t="s">
        <v>1974</v>
      </c>
    </row>
    <row r="39" spans="1:21" s="365" customFormat="1" ht="91.5" customHeight="1" x14ac:dyDescent="0.25">
      <c r="A39" s="748"/>
      <c r="C39" s="276"/>
      <c r="D39" s="276"/>
      <c r="E39" s="624" t="s">
        <v>2222</v>
      </c>
      <c r="F39" s="276" t="s">
        <v>1976</v>
      </c>
      <c r="G39" s="568" t="s">
        <v>1975</v>
      </c>
      <c r="H39" s="362"/>
      <c r="I39" s="363"/>
      <c r="J39" s="276"/>
      <c r="K39" s="363"/>
      <c r="L39" s="362">
        <v>1</v>
      </c>
      <c r="M39" s="363">
        <f>+'5. ACTIVIDADES ESPECIALES'!D198</f>
        <v>40200</v>
      </c>
      <c r="N39" s="276"/>
      <c r="O39" s="363"/>
      <c r="P39" s="400">
        <f t="shared" si="1"/>
        <v>1</v>
      </c>
      <c r="Q39" s="401">
        <f t="shared" si="2"/>
        <v>40200</v>
      </c>
      <c r="R39" s="590" t="s">
        <v>1977</v>
      </c>
      <c r="S39" s="276" t="s">
        <v>1978</v>
      </c>
      <c r="T39" s="276" t="s">
        <v>1979</v>
      </c>
      <c r="U39" s="276" t="s">
        <v>1980</v>
      </c>
    </row>
    <row r="40" spans="1:21" s="365" customFormat="1" ht="54" customHeight="1" x14ac:dyDescent="0.25">
      <c r="A40" s="748"/>
      <c r="C40" s="276"/>
      <c r="D40" s="276"/>
      <c r="E40" s="624" t="s">
        <v>1813</v>
      </c>
      <c r="F40" s="276" t="s">
        <v>2021</v>
      </c>
      <c r="G40" s="525" t="s">
        <v>2019</v>
      </c>
      <c r="H40" s="362"/>
      <c r="I40" s="363"/>
      <c r="J40" s="362">
        <v>1</v>
      </c>
      <c r="K40" s="363">
        <f>+'3. EQUIPO DE OFICINA'!D47+'4. EQUIPO TECNOLÓGICOS'!D43</f>
        <v>16000</v>
      </c>
      <c r="L40" s="276"/>
      <c r="M40" s="363"/>
      <c r="N40" s="276"/>
      <c r="O40" s="363"/>
      <c r="P40" s="400">
        <f t="shared" si="1"/>
        <v>1</v>
      </c>
      <c r="Q40" s="401">
        <f t="shared" si="2"/>
        <v>16000</v>
      </c>
      <c r="R40" s="531" t="s">
        <v>2020</v>
      </c>
      <c r="S40" s="528" t="s">
        <v>1973</v>
      </c>
      <c r="T40" s="276" t="s">
        <v>1919</v>
      </c>
      <c r="U40" s="528" t="s">
        <v>1974</v>
      </c>
    </row>
    <row r="41" spans="1:21" s="365" customFormat="1" ht="89.25" x14ac:dyDescent="0.25">
      <c r="A41" s="748"/>
      <c r="C41" s="276"/>
      <c r="D41" s="276"/>
      <c r="E41" s="624" t="s">
        <v>1813</v>
      </c>
      <c r="F41" s="276" t="s">
        <v>2054</v>
      </c>
      <c r="G41" s="602" t="s">
        <v>2627</v>
      </c>
      <c r="H41" s="362"/>
      <c r="I41" s="363"/>
      <c r="J41" s="362">
        <v>1</v>
      </c>
      <c r="K41" s="363">
        <f>+'3. EQUIPO DE OFICINA'!D57+'5. ACTIVIDADES ESPECIALES'!D230</f>
        <v>14000</v>
      </c>
      <c r="L41" s="276"/>
      <c r="M41" s="363"/>
      <c r="N41" s="276"/>
      <c r="O41" s="363"/>
      <c r="P41" s="400">
        <f t="shared" si="1"/>
        <v>1</v>
      </c>
      <c r="Q41" s="401">
        <f t="shared" si="2"/>
        <v>14000</v>
      </c>
      <c r="R41" s="557" t="s">
        <v>2020</v>
      </c>
      <c r="S41" s="528" t="s">
        <v>1973</v>
      </c>
      <c r="T41" s="276" t="s">
        <v>1919</v>
      </c>
      <c r="U41" s="528" t="s">
        <v>1974</v>
      </c>
    </row>
    <row r="42" spans="1:21" s="464" customFormat="1" ht="127.5" x14ac:dyDescent="0.25">
      <c r="A42" s="748"/>
      <c r="C42" s="276"/>
      <c r="D42" s="276"/>
      <c r="E42" s="624" t="s">
        <v>1813</v>
      </c>
      <c r="F42" s="276" t="s">
        <v>2069</v>
      </c>
      <c r="G42" s="606" t="s">
        <v>2072</v>
      </c>
      <c r="H42" s="362"/>
      <c r="I42" s="363"/>
      <c r="J42" s="362">
        <v>1</v>
      </c>
      <c r="K42" s="363">
        <f>+'5. ACTIVIDADES ESPECIALES'!D241</f>
        <v>462901.89999999979</v>
      </c>
      <c r="L42" s="276"/>
      <c r="M42" s="363"/>
      <c r="N42" s="276"/>
      <c r="O42" s="363"/>
      <c r="P42" s="400">
        <f t="shared" ref="P42:P60" si="9">H42+J42+L42+N42</f>
        <v>1</v>
      </c>
      <c r="Q42" s="401">
        <f t="shared" ref="Q42:Q60" si="10">I42+K42+M42+O42</f>
        <v>462901.89999999979</v>
      </c>
      <c r="R42" s="526" t="s">
        <v>2070</v>
      </c>
      <c r="S42" s="527" t="s">
        <v>1732</v>
      </c>
      <c r="T42" s="528" t="s">
        <v>1733</v>
      </c>
      <c r="U42" s="276" t="s">
        <v>2071</v>
      </c>
    </row>
    <row r="43" spans="1:21" s="464" customFormat="1" ht="72" customHeight="1" x14ac:dyDescent="0.25">
      <c r="A43" s="748"/>
      <c r="C43" s="276"/>
      <c r="D43" s="276"/>
      <c r="E43" s="624" t="s">
        <v>1813</v>
      </c>
      <c r="F43" s="276" t="s">
        <v>2111</v>
      </c>
      <c r="G43" s="525" t="s">
        <v>2112</v>
      </c>
      <c r="H43" s="362"/>
      <c r="I43" s="363"/>
      <c r="J43" s="362">
        <v>1</v>
      </c>
      <c r="K43" s="363">
        <f>+'3. EQUIPO DE OFICINA'!D67+'4. EQUIPO TECNOLÓGICOS'!D53</f>
        <v>105300</v>
      </c>
      <c r="L43" s="276"/>
      <c r="M43" s="363"/>
      <c r="N43" s="276"/>
      <c r="O43" s="363"/>
      <c r="P43" s="400">
        <f t="shared" si="9"/>
        <v>1</v>
      </c>
      <c r="Q43" s="401">
        <f t="shared" si="10"/>
        <v>105300</v>
      </c>
      <c r="R43" s="526" t="s">
        <v>2113</v>
      </c>
      <c r="S43" s="527" t="s">
        <v>1732</v>
      </c>
      <c r="T43" s="528" t="s">
        <v>1733</v>
      </c>
      <c r="U43" s="276" t="s">
        <v>2071</v>
      </c>
    </row>
    <row r="44" spans="1:21" s="464" customFormat="1" ht="116.25" customHeight="1" x14ac:dyDescent="0.25">
      <c r="A44" s="748"/>
      <c r="C44" s="276"/>
      <c r="D44" s="276"/>
      <c r="E44" s="624" t="s">
        <v>2222</v>
      </c>
      <c r="F44" s="276" t="s">
        <v>2116</v>
      </c>
      <c r="G44" s="568" t="s">
        <v>2115</v>
      </c>
      <c r="H44" s="362"/>
      <c r="I44" s="363"/>
      <c r="J44" s="362"/>
      <c r="K44" s="363"/>
      <c r="L44" s="362">
        <v>1</v>
      </c>
      <c r="M44" s="363">
        <f>+'5. ACTIVIDADES ESPECIALES'!D289</f>
        <v>39300</v>
      </c>
      <c r="N44" s="276"/>
      <c r="O44" s="363"/>
      <c r="P44" s="400">
        <f t="shared" si="9"/>
        <v>1</v>
      </c>
      <c r="Q44" s="401">
        <f t="shared" si="10"/>
        <v>39300</v>
      </c>
      <c r="R44" s="590" t="s">
        <v>1977</v>
      </c>
      <c r="S44" s="276" t="s">
        <v>1978</v>
      </c>
      <c r="T44" s="276" t="s">
        <v>1979</v>
      </c>
      <c r="U44" s="276" t="s">
        <v>2134</v>
      </c>
    </row>
    <row r="45" spans="1:21" s="464" customFormat="1" ht="127.5" x14ac:dyDescent="0.25">
      <c r="A45" s="748"/>
      <c r="C45" s="276"/>
      <c r="D45" s="276"/>
      <c r="E45" s="624" t="s">
        <v>1813</v>
      </c>
      <c r="F45" s="276" t="s">
        <v>2220</v>
      </c>
      <c r="G45" s="525" t="s">
        <v>2204</v>
      </c>
      <c r="H45" s="362"/>
      <c r="I45" s="363"/>
      <c r="J45" s="362">
        <v>1</v>
      </c>
      <c r="K45" s="363">
        <f>+'3. EQUIPO DE OFICINA'!D80</f>
        <v>6000</v>
      </c>
      <c r="L45" s="276"/>
      <c r="M45" s="363"/>
      <c r="N45" s="276"/>
      <c r="O45" s="363"/>
      <c r="P45" s="400">
        <f t="shared" si="9"/>
        <v>1</v>
      </c>
      <c r="Q45" s="401">
        <f t="shared" si="10"/>
        <v>6000</v>
      </c>
      <c r="R45" s="526" t="s">
        <v>2205</v>
      </c>
      <c r="S45" s="527" t="s">
        <v>1732</v>
      </c>
      <c r="T45" s="528" t="s">
        <v>1733</v>
      </c>
      <c r="U45" s="529" t="s">
        <v>1734</v>
      </c>
    </row>
    <row r="46" spans="1:21" s="464" customFormat="1" ht="140.25" x14ac:dyDescent="0.25">
      <c r="A46" s="748"/>
      <c r="C46" s="276"/>
      <c r="D46" s="276"/>
      <c r="E46" s="624" t="s">
        <v>1813</v>
      </c>
      <c r="F46" s="276" t="s">
        <v>2221</v>
      </c>
      <c r="G46" s="578" t="s">
        <v>2628</v>
      </c>
      <c r="H46" s="362"/>
      <c r="I46" s="363"/>
      <c r="J46" s="362">
        <v>1</v>
      </c>
      <c r="K46" s="363">
        <f>+'5. ACTIVIDADES ESPECIALES'!D363</f>
        <v>345000</v>
      </c>
      <c r="L46" s="276"/>
      <c r="M46" s="363"/>
      <c r="N46" s="276"/>
      <c r="O46" s="363"/>
      <c r="P46" s="400">
        <f t="shared" si="9"/>
        <v>1</v>
      </c>
      <c r="Q46" s="401">
        <f t="shared" si="10"/>
        <v>345000</v>
      </c>
      <c r="R46" s="539" t="s">
        <v>2206</v>
      </c>
      <c r="S46" s="523" t="s">
        <v>2207</v>
      </c>
      <c r="T46" s="528" t="s">
        <v>2208</v>
      </c>
      <c r="U46" s="529" t="s">
        <v>1734</v>
      </c>
    </row>
    <row r="47" spans="1:21" s="464" customFormat="1" ht="140.25" x14ac:dyDescent="0.25">
      <c r="A47" s="748"/>
      <c r="C47" s="276"/>
      <c r="D47" s="276"/>
      <c r="E47" s="624"/>
      <c r="F47" s="276" t="s">
        <v>2353</v>
      </c>
      <c r="G47" s="659" t="s">
        <v>2342</v>
      </c>
      <c r="H47" s="362"/>
      <c r="I47" s="363"/>
      <c r="J47" s="362">
        <v>1</v>
      </c>
      <c r="K47" s="363">
        <f>+'5. ACTIVIDADES ESPECIALES'!D423</f>
        <v>0</v>
      </c>
      <c r="L47" s="276"/>
      <c r="M47" s="363"/>
      <c r="N47" s="276"/>
      <c r="O47" s="363"/>
      <c r="P47" s="400">
        <f t="shared" ref="P47:P56" si="11">H47+J47+L47+N47</f>
        <v>1</v>
      </c>
      <c r="Q47" s="401">
        <f t="shared" ref="Q47:Q56" si="12">I47+K47+M47+O47</f>
        <v>0</v>
      </c>
      <c r="R47" s="650" t="s">
        <v>2346</v>
      </c>
      <c r="S47" s="650" t="s">
        <v>2347</v>
      </c>
      <c r="T47" s="650" t="s">
        <v>1733</v>
      </c>
      <c r="U47" s="651" t="s">
        <v>2348</v>
      </c>
    </row>
    <row r="48" spans="1:21" s="464" customFormat="1" ht="76.5" x14ac:dyDescent="0.25">
      <c r="A48" s="748"/>
      <c r="C48" s="276"/>
      <c r="D48" s="276"/>
      <c r="E48" s="624"/>
      <c r="F48" s="276" t="s">
        <v>2354</v>
      </c>
      <c r="G48" s="585" t="s">
        <v>2343</v>
      </c>
      <c r="H48" s="362"/>
      <c r="I48" s="363"/>
      <c r="J48" s="362">
        <v>1</v>
      </c>
      <c r="K48" s="363">
        <f>+'3. EQUIPO DE OFICINA'!D90+'4. EQUIPO TECNOLÓGICOS'!D65+'5. ACTIVIDADES ESPECIALES'!D434</f>
        <v>470100</v>
      </c>
      <c r="L48" s="276"/>
      <c r="M48" s="363"/>
      <c r="N48" s="276"/>
      <c r="O48" s="363"/>
      <c r="P48" s="400">
        <f t="shared" si="11"/>
        <v>1</v>
      </c>
      <c r="Q48" s="401">
        <f t="shared" si="12"/>
        <v>470100</v>
      </c>
      <c r="R48" s="527" t="s">
        <v>2349</v>
      </c>
      <c r="S48" s="527" t="s">
        <v>1732</v>
      </c>
      <c r="T48" s="539" t="s">
        <v>1744</v>
      </c>
      <c r="U48" s="528" t="s">
        <v>1745</v>
      </c>
    </row>
    <row r="49" spans="1:21" s="464" customFormat="1" ht="141.75" x14ac:dyDescent="0.25">
      <c r="A49" s="748"/>
      <c r="C49" s="276"/>
      <c r="D49" s="276"/>
      <c r="E49" s="624"/>
      <c r="F49" s="276" t="s">
        <v>2355</v>
      </c>
      <c r="G49" s="525" t="s">
        <v>2344</v>
      </c>
      <c r="H49" s="362"/>
      <c r="I49" s="363"/>
      <c r="J49" s="362">
        <v>1</v>
      </c>
      <c r="K49" s="363">
        <f>+'3. EQUIPO DE OFICINA'!D106</f>
        <v>30000</v>
      </c>
      <c r="L49" s="276"/>
      <c r="M49" s="363"/>
      <c r="N49" s="276"/>
      <c r="O49" s="363"/>
      <c r="P49" s="400">
        <f t="shared" si="11"/>
        <v>1</v>
      </c>
      <c r="Q49" s="401">
        <f t="shared" si="12"/>
        <v>30000</v>
      </c>
      <c r="R49" s="531" t="s">
        <v>2350</v>
      </c>
      <c r="S49" s="527" t="s">
        <v>1732</v>
      </c>
      <c r="T49" s="528" t="s">
        <v>1733</v>
      </c>
      <c r="U49" s="276" t="s">
        <v>2351</v>
      </c>
    </row>
    <row r="50" spans="1:21" s="464" customFormat="1" ht="141.75" x14ac:dyDescent="0.25">
      <c r="A50" s="748"/>
      <c r="C50" s="276"/>
      <c r="D50" s="276"/>
      <c r="E50" s="624"/>
      <c r="F50" s="276" t="s">
        <v>2356</v>
      </c>
      <c r="G50" s="525" t="s">
        <v>2345</v>
      </c>
      <c r="H50" s="362"/>
      <c r="I50" s="363"/>
      <c r="J50" s="362">
        <v>1</v>
      </c>
      <c r="K50" s="363">
        <f>+'5. ACTIVIDADES ESPECIALES'!D446</f>
        <v>3477883.550301746</v>
      </c>
      <c r="L50" s="276"/>
      <c r="M50" s="363"/>
      <c r="N50" s="276"/>
      <c r="O50" s="363"/>
      <c r="P50" s="400">
        <f t="shared" si="11"/>
        <v>1</v>
      </c>
      <c r="Q50" s="401">
        <f t="shared" si="12"/>
        <v>3477883.550301746</v>
      </c>
      <c r="R50" s="531" t="s">
        <v>2352</v>
      </c>
      <c r="S50" s="527" t="s">
        <v>1732</v>
      </c>
      <c r="T50" s="528" t="s">
        <v>1733</v>
      </c>
      <c r="U50" s="276" t="s">
        <v>2351</v>
      </c>
    </row>
    <row r="51" spans="1:21" s="464" customFormat="1" ht="15.75" x14ac:dyDescent="0.25">
      <c r="A51" s="748"/>
      <c r="C51" s="276"/>
      <c r="D51" s="276"/>
      <c r="E51" s="624"/>
      <c r="F51" s="276"/>
      <c r="G51" s="618"/>
      <c r="H51" s="362"/>
      <c r="I51" s="363"/>
      <c r="J51" s="362"/>
      <c r="K51" s="363"/>
      <c r="L51" s="276"/>
      <c r="M51" s="363"/>
      <c r="N51" s="276"/>
      <c r="O51" s="363"/>
      <c r="P51" s="400">
        <f t="shared" si="11"/>
        <v>0</v>
      </c>
      <c r="Q51" s="401">
        <f t="shared" si="12"/>
        <v>0</v>
      </c>
      <c r="R51" s="539"/>
      <c r="S51" s="523"/>
      <c r="T51" s="528"/>
      <c r="U51" s="529"/>
    </row>
    <row r="52" spans="1:21" s="464" customFormat="1" ht="15.75" x14ac:dyDescent="0.25">
      <c r="A52" s="748"/>
      <c r="C52" s="276"/>
      <c r="D52" s="276"/>
      <c r="E52" s="624"/>
      <c r="F52" s="276"/>
      <c r="G52" s="618"/>
      <c r="H52" s="362"/>
      <c r="I52" s="363"/>
      <c r="J52" s="362"/>
      <c r="K52" s="363"/>
      <c r="L52" s="276"/>
      <c r="M52" s="363"/>
      <c r="N52" s="276"/>
      <c r="O52" s="363"/>
      <c r="P52" s="400">
        <f t="shared" si="11"/>
        <v>0</v>
      </c>
      <c r="Q52" s="401">
        <f t="shared" si="12"/>
        <v>0</v>
      </c>
      <c r="R52" s="539"/>
      <c r="S52" s="523"/>
      <c r="T52" s="528"/>
      <c r="U52" s="529"/>
    </row>
    <row r="53" spans="1:21" s="464" customFormat="1" ht="15.75" x14ac:dyDescent="0.25">
      <c r="A53" s="748"/>
      <c r="C53" s="276"/>
      <c r="D53" s="276"/>
      <c r="E53" s="624"/>
      <c r="F53" s="276"/>
      <c r="G53" s="618"/>
      <c r="H53" s="362"/>
      <c r="I53" s="363"/>
      <c r="J53" s="362"/>
      <c r="K53" s="363"/>
      <c r="L53" s="276"/>
      <c r="M53" s="363"/>
      <c r="N53" s="276"/>
      <c r="O53" s="363"/>
      <c r="P53" s="400">
        <f t="shared" si="11"/>
        <v>0</v>
      </c>
      <c r="Q53" s="401">
        <f t="shared" si="12"/>
        <v>0</v>
      </c>
      <c r="R53" s="539"/>
      <c r="S53" s="523"/>
      <c r="T53" s="528"/>
      <c r="U53" s="529"/>
    </row>
    <row r="54" spans="1:21" s="464" customFormat="1" ht="15.75" x14ac:dyDescent="0.25">
      <c r="A54" s="748"/>
      <c r="C54" s="276"/>
      <c r="D54" s="276"/>
      <c r="E54" s="624"/>
      <c r="F54" s="276"/>
      <c r="G54" s="618"/>
      <c r="H54" s="362"/>
      <c r="I54" s="363"/>
      <c r="J54" s="362"/>
      <c r="K54" s="363"/>
      <c r="L54" s="276"/>
      <c r="M54" s="363"/>
      <c r="N54" s="276"/>
      <c r="O54" s="363"/>
      <c r="P54" s="400">
        <f t="shared" si="11"/>
        <v>0</v>
      </c>
      <c r="Q54" s="401">
        <f t="shared" si="12"/>
        <v>0</v>
      </c>
      <c r="R54" s="539"/>
      <c r="S54" s="523"/>
      <c r="T54" s="528"/>
      <c r="U54" s="529"/>
    </row>
    <row r="55" spans="1:21" s="464" customFormat="1" ht="15.75" x14ac:dyDescent="0.25">
      <c r="A55" s="748"/>
      <c r="C55" s="276"/>
      <c r="D55" s="276"/>
      <c r="E55" s="624"/>
      <c r="F55" s="276"/>
      <c r="G55" s="618"/>
      <c r="H55" s="362"/>
      <c r="I55" s="363"/>
      <c r="J55" s="362"/>
      <c r="K55" s="363"/>
      <c r="L55" s="276"/>
      <c r="M55" s="363"/>
      <c r="N55" s="276"/>
      <c r="O55" s="363"/>
      <c r="P55" s="400">
        <f t="shared" si="11"/>
        <v>0</v>
      </c>
      <c r="Q55" s="401">
        <f t="shared" si="12"/>
        <v>0</v>
      </c>
      <c r="R55" s="539"/>
      <c r="S55" s="523"/>
      <c r="T55" s="528"/>
      <c r="U55" s="529"/>
    </row>
    <row r="56" spans="1:21" s="464" customFormat="1" ht="15.75" x14ac:dyDescent="0.25">
      <c r="A56" s="748"/>
      <c r="C56" s="276"/>
      <c r="D56" s="276"/>
      <c r="E56" s="624"/>
      <c r="F56" s="276"/>
      <c r="G56" s="618"/>
      <c r="H56" s="362"/>
      <c r="I56" s="363"/>
      <c r="J56" s="362"/>
      <c r="K56" s="363"/>
      <c r="L56" s="276"/>
      <c r="M56" s="363"/>
      <c r="N56" s="276"/>
      <c r="O56" s="363"/>
      <c r="P56" s="400">
        <f t="shared" si="11"/>
        <v>0</v>
      </c>
      <c r="Q56" s="401">
        <f t="shared" si="12"/>
        <v>0</v>
      </c>
      <c r="R56" s="539"/>
      <c r="S56" s="523"/>
      <c r="T56" s="528"/>
      <c r="U56" s="529"/>
    </row>
    <row r="57" spans="1:21" s="464" customFormat="1" ht="15.75" x14ac:dyDescent="0.25">
      <c r="A57" s="748"/>
      <c r="C57" s="276"/>
      <c r="D57" s="276"/>
      <c r="E57" s="276"/>
      <c r="F57" s="276"/>
      <c r="G57" s="603"/>
      <c r="H57" s="362"/>
      <c r="I57" s="363"/>
      <c r="J57" s="362"/>
      <c r="K57" s="363"/>
      <c r="L57" s="276"/>
      <c r="M57" s="363"/>
      <c r="N57" s="276"/>
      <c r="O57" s="363"/>
      <c r="P57" s="400">
        <f t="shared" si="9"/>
        <v>0</v>
      </c>
      <c r="Q57" s="401">
        <f t="shared" si="10"/>
        <v>0</v>
      </c>
      <c r="R57" s="569"/>
      <c r="S57" s="528"/>
      <c r="T57" s="276"/>
      <c r="U57" s="528"/>
    </row>
    <row r="58" spans="1:21" s="464" customFormat="1" ht="15.75" x14ac:dyDescent="0.25">
      <c r="A58" s="748"/>
      <c r="C58" s="276"/>
      <c r="D58" s="276"/>
      <c r="E58" s="276"/>
      <c r="F58" s="276"/>
      <c r="G58" s="603"/>
      <c r="H58" s="362"/>
      <c r="I58" s="363"/>
      <c r="J58" s="362"/>
      <c r="K58" s="363"/>
      <c r="L58" s="276"/>
      <c r="M58" s="363"/>
      <c r="N58" s="276"/>
      <c r="O58" s="363"/>
      <c r="P58" s="400">
        <f t="shared" si="9"/>
        <v>0</v>
      </c>
      <c r="Q58" s="401">
        <f t="shared" si="10"/>
        <v>0</v>
      </c>
      <c r="R58" s="569"/>
      <c r="S58" s="528"/>
      <c r="T58" s="276"/>
      <c r="U58" s="528"/>
    </row>
    <row r="59" spans="1:21" s="464" customFormat="1" ht="15.75" x14ac:dyDescent="0.25">
      <c r="A59" s="748"/>
      <c r="C59" s="276"/>
      <c r="D59" s="276"/>
      <c r="E59" s="276"/>
      <c r="F59" s="276"/>
      <c r="G59" s="603"/>
      <c r="H59" s="362"/>
      <c r="I59" s="363"/>
      <c r="J59" s="362"/>
      <c r="K59" s="363"/>
      <c r="L59" s="276"/>
      <c r="M59" s="363"/>
      <c r="N59" s="276"/>
      <c r="O59" s="363"/>
      <c r="P59" s="400">
        <f t="shared" si="9"/>
        <v>0</v>
      </c>
      <c r="Q59" s="401">
        <f t="shared" si="10"/>
        <v>0</v>
      </c>
      <c r="R59" s="569"/>
      <c r="S59" s="528"/>
      <c r="T59" s="276"/>
      <c r="U59" s="528"/>
    </row>
    <row r="60" spans="1:21" s="464" customFormat="1" ht="15.75" x14ac:dyDescent="0.25">
      <c r="A60" s="748"/>
      <c r="C60" s="276"/>
      <c r="D60" s="276"/>
      <c r="E60" s="276"/>
      <c r="F60" s="276"/>
      <c r="G60" s="603"/>
      <c r="H60" s="362"/>
      <c r="I60" s="363"/>
      <c r="J60" s="362"/>
      <c r="K60" s="363"/>
      <c r="L60" s="276"/>
      <c r="M60" s="363"/>
      <c r="N60" s="276"/>
      <c r="O60" s="363"/>
      <c r="P60" s="400">
        <f t="shared" si="9"/>
        <v>0</v>
      </c>
      <c r="Q60" s="401">
        <f t="shared" si="10"/>
        <v>0</v>
      </c>
      <c r="R60" s="569"/>
      <c r="S60" s="528"/>
      <c r="T60" s="276"/>
      <c r="U60" s="528"/>
    </row>
    <row r="61" spans="1:21" ht="15.75" x14ac:dyDescent="0.25">
      <c r="A61" s="748"/>
      <c r="C61" s="276"/>
      <c r="D61" s="276"/>
      <c r="E61" s="276"/>
      <c r="F61" s="276"/>
      <c r="G61" s="276"/>
      <c r="H61" s="276"/>
      <c r="I61" s="363"/>
      <c r="J61" s="276"/>
      <c r="K61" s="363"/>
      <c r="L61" s="276"/>
      <c r="M61" s="363"/>
      <c r="N61" s="276"/>
      <c r="O61" s="363"/>
      <c r="P61" s="400">
        <f t="shared" si="1"/>
        <v>0</v>
      </c>
      <c r="Q61" s="401">
        <f t="shared" si="2"/>
        <v>0</v>
      </c>
      <c r="R61" s="276"/>
      <c r="S61" s="276"/>
      <c r="T61" s="276"/>
      <c r="U61" s="276"/>
    </row>
    <row r="62" spans="1:21" ht="110.25" x14ac:dyDescent="0.25">
      <c r="A62" s="745" t="s">
        <v>1415</v>
      </c>
      <c r="B62" s="745" t="s">
        <v>1417</v>
      </c>
      <c r="C62" s="276" t="s">
        <v>1636</v>
      </c>
      <c r="D62" s="276" t="s">
        <v>1739</v>
      </c>
      <c r="E62" s="276" t="s">
        <v>1738</v>
      </c>
      <c r="F62" s="276" t="s">
        <v>1740</v>
      </c>
      <c r="G62" s="276" t="s">
        <v>1736</v>
      </c>
      <c r="H62" s="362">
        <v>0.33</v>
      </c>
      <c r="I62" s="363">
        <f>+H62*'2. CONTRATACION DE PERSONAL'!D10</f>
        <v>214620.516</v>
      </c>
      <c r="J62" s="362">
        <v>0.33</v>
      </c>
      <c r="K62" s="363">
        <f>+J62*'2. CONTRATACION DE PERSONAL'!D10</f>
        <v>214620.516</v>
      </c>
      <c r="L62" s="362">
        <v>0.34</v>
      </c>
      <c r="M62" s="363">
        <f>+L62*'2. CONTRATACION DE PERSONAL'!D10</f>
        <v>221124.16800000001</v>
      </c>
      <c r="N62" s="276"/>
      <c r="O62" s="363"/>
      <c r="P62" s="400">
        <f t="shared" si="1"/>
        <v>1</v>
      </c>
      <c r="Q62" s="401">
        <f t="shared" si="2"/>
        <v>650365.19999999995</v>
      </c>
      <c r="R62" s="533" t="s">
        <v>1741</v>
      </c>
      <c r="S62" s="307" t="s">
        <v>1737</v>
      </c>
      <c r="T62" s="532" t="s">
        <v>1733</v>
      </c>
      <c r="U62" s="307" t="s">
        <v>1728</v>
      </c>
    </row>
    <row r="63" spans="1:21" s="365" customFormat="1" ht="110.25" x14ac:dyDescent="0.25">
      <c r="A63" s="746"/>
      <c r="B63" s="746"/>
      <c r="C63" s="276" t="s">
        <v>1636</v>
      </c>
      <c r="D63" s="276" t="s">
        <v>1739</v>
      </c>
      <c r="E63" s="276" t="s">
        <v>1738</v>
      </c>
      <c r="F63" s="276" t="s">
        <v>1876</v>
      </c>
      <c r="G63" s="558" t="s">
        <v>1818</v>
      </c>
      <c r="H63" s="362">
        <v>0.33</v>
      </c>
      <c r="I63" s="363">
        <f>+H63*'2. CONTRATACION DE PERSONAL'!D22</f>
        <v>214620.516</v>
      </c>
      <c r="J63" s="362">
        <v>0.33</v>
      </c>
      <c r="K63" s="363">
        <f>+J63*'2. CONTRATACION DE PERSONAL'!D22</f>
        <v>214620.516</v>
      </c>
      <c r="L63" s="362">
        <v>0.34</v>
      </c>
      <c r="M63" s="363">
        <f>+L63*'2. CONTRATACION DE PERSONAL'!D22</f>
        <v>221124.16800000001</v>
      </c>
      <c r="N63" s="276"/>
      <c r="O63" s="363"/>
      <c r="P63" s="400">
        <f t="shared" si="1"/>
        <v>1</v>
      </c>
      <c r="Q63" s="401">
        <f t="shared" si="2"/>
        <v>650365.19999999995</v>
      </c>
      <c r="R63" s="559" t="s">
        <v>1819</v>
      </c>
      <c r="S63" s="307" t="s">
        <v>1737</v>
      </c>
      <c r="T63" s="532" t="s">
        <v>1733</v>
      </c>
      <c r="U63" s="276" t="s">
        <v>1820</v>
      </c>
    </row>
    <row r="64" spans="1:21" s="365" customFormat="1" ht="95.25" customHeight="1" x14ac:dyDescent="0.25">
      <c r="A64" s="746"/>
      <c r="B64" s="746"/>
      <c r="C64" s="276" t="s">
        <v>1636</v>
      </c>
      <c r="D64" s="276" t="s">
        <v>1739</v>
      </c>
      <c r="E64" s="276" t="s">
        <v>1738</v>
      </c>
      <c r="F64" s="276" t="s">
        <v>1968</v>
      </c>
      <c r="G64" s="568" t="s">
        <v>1967</v>
      </c>
      <c r="H64" s="362">
        <v>0.33</v>
      </c>
      <c r="I64" s="363">
        <f>+H64*'2. CONTRATACION DE PERSONAL'!D34</f>
        <v>214620.516</v>
      </c>
      <c r="J64" s="362">
        <v>0.33</v>
      </c>
      <c r="K64" s="363">
        <f>+J64*'2. CONTRATACION DE PERSONAL'!D34</f>
        <v>214620.516</v>
      </c>
      <c r="L64" s="362">
        <v>0.34</v>
      </c>
      <c r="M64" s="363">
        <f>+L64*'2. CONTRATACION DE PERSONAL'!D34</f>
        <v>221124.16800000001</v>
      </c>
      <c r="N64" s="276"/>
      <c r="O64" s="363"/>
      <c r="P64" s="400">
        <f t="shared" si="1"/>
        <v>1</v>
      </c>
      <c r="Q64" s="401">
        <f t="shared" si="2"/>
        <v>650365.19999999995</v>
      </c>
      <c r="R64" s="533" t="s">
        <v>1741</v>
      </c>
      <c r="S64" s="307" t="s">
        <v>1737</v>
      </c>
      <c r="T64" s="532" t="s">
        <v>1733</v>
      </c>
      <c r="U64" s="276" t="s">
        <v>1969</v>
      </c>
    </row>
    <row r="65" spans="1:21" s="365" customFormat="1" ht="110.25" x14ac:dyDescent="0.25">
      <c r="A65" s="746"/>
      <c r="B65" s="746"/>
      <c r="C65" s="276" t="s">
        <v>1636</v>
      </c>
      <c r="D65" s="276" t="s">
        <v>1739</v>
      </c>
      <c r="E65" s="276" t="s">
        <v>1738</v>
      </c>
      <c r="F65" s="276" t="s">
        <v>2138</v>
      </c>
      <c r="G65" s="525" t="s">
        <v>2139</v>
      </c>
      <c r="H65" s="362">
        <v>0.5</v>
      </c>
      <c r="I65" s="363">
        <f>+'2. CONTRATACION DE PERSONAL'!D46*'11. Gestion Administrativa'!H65</f>
        <v>325182.59999999998</v>
      </c>
      <c r="J65" s="276"/>
      <c r="K65" s="363"/>
      <c r="L65" s="362">
        <v>0.5</v>
      </c>
      <c r="M65" s="363">
        <f>+'2. CONTRATACION DE PERSONAL'!D46*'11. Gestion Administrativa'!L65</f>
        <v>325182.59999999998</v>
      </c>
      <c r="N65" s="276"/>
      <c r="O65" s="363"/>
      <c r="P65" s="400">
        <f t="shared" si="1"/>
        <v>1</v>
      </c>
      <c r="Q65" s="401">
        <f t="shared" si="2"/>
        <v>650365.19999999995</v>
      </c>
      <c r="R65" s="533" t="s">
        <v>1741</v>
      </c>
      <c r="S65" s="307" t="s">
        <v>1737</v>
      </c>
      <c r="T65" s="532" t="s">
        <v>1733</v>
      </c>
      <c r="U65" s="276" t="s">
        <v>2064</v>
      </c>
    </row>
    <row r="66" spans="1:21" s="365" customFormat="1" ht="173.25" x14ac:dyDescent="0.25">
      <c r="A66" s="746"/>
      <c r="B66" s="746"/>
      <c r="C66" s="276" t="s">
        <v>1636</v>
      </c>
      <c r="D66" s="276" t="s">
        <v>1739</v>
      </c>
      <c r="E66" s="276" t="s">
        <v>1738</v>
      </c>
      <c r="F66" s="276" t="s">
        <v>2339</v>
      </c>
      <c r="G66" s="525" t="s">
        <v>2338</v>
      </c>
      <c r="H66" s="362">
        <v>0.33</v>
      </c>
      <c r="I66" s="363">
        <f>+'2. CONTRATACION DE PERSONAL'!D59*'11. Gestion Administrativa'!H66</f>
        <v>297952.13745000004</v>
      </c>
      <c r="J66" s="362">
        <v>0.33</v>
      </c>
      <c r="K66" s="363">
        <f>+'2. CONTRATACION DE PERSONAL'!D59*'11. Gestion Administrativa'!J66</f>
        <v>297952.13745000004</v>
      </c>
      <c r="L66" s="362">
        <v>0.34</v>
      </c>
      <c r="M66" s="363">
        <f>+'2. CONTRATACION DE PERSONAL'!D59*'11. Gestion Administrativa'!L66</f>
        <v>306980.99010000005</v>
      </c>
      <c r="N66" s="276"/>
      <c r="O66" s="363"/>
      <c r="P66" s="400">
        <f t="shared" si="1"/>
        <v>1</v>
      </c>
      <c r="Q66" s="401">
        <f t="shared" si="2"/>
        <v>902885.26500000013</v>
      </c>
      <c r="R66" s="531" t="s">
        <v>2341</v>
      </c>
      <c r="S66" s="307" t="s">
        <v>1737</v>
      </c>
      <c r="T66" s="532" t="s">
        <v>1733</v>
      </c>
      <c r="U66" s="276" t="s">
        <v>2256</v>
      </c>
    </row>
    <row r="67" spans="1:21" s="365" customFormat="1" ht="15.75" x14ac:dyDescent="0.25">
      <c r="A67" s="746"/>
      <c r="B67" s="747"/>
      <c r="C67" s="276"/>
      <c r="D67" s="276"/>
      <c r="E67" s="276"/>
      <c r="F67" s="276"/>
      <c r="G67" s="276"/>
      <c r="H67" s="362"/>
      <c r="I67" s="363"/>
      <c r="J67" s="276"/>
      <c r="K67" s="363"/>
      <c r="L67" s="276"/>
      <c r="M67" s="363"/>
      <c r="N67" s="276"/>
      <c r="O67" s="363"/>
      <c r="P67" s="400">
        <f t="shared" si="1"/>
        <v>0</v>
      </c>
      <c r="Q67" s="401">
        <f t="shared" si="2"/>
        <v>0</v>
      </c>
      <c r="R67" s="276"/>
      <c r="S67" s="276"/>
      <c r="T67" s="276"/>
      <c r="U67" s="276"/>
    </row>
    <row r="68" spans="1:21" ht="15.75" x14ac:dyDescent="0.25">
      <c r="A68" s="746"/>
      <c r="B68" s="745" t="s">
        <v>1418</v>
      </c>
      <c r="C68" s="276"/>
      <c r="D68" s="276"/>
      <c r="E68" s="276"/>
      <c r="F68" s="276"/>
      <c r="G68" s="276"/>
      <c r="H68" s="276"/>
      <c r="I68" s="363"/>
      <c r="J68" s="276"/>
      <c r="K68" s="363"/>
      <c r="L68" s="276"/>
      <c r="M68" s="363"/>
      <c r="N68" s="276"/>
      <c r="O68" s="363"/>
      <c r="P68" s="400">
        <f t="shared" si="1"/>
        <v>0</v>
      </c>
      <c r="Q68" s="401">
        <f t="shared" si="2"/>
        <v>0</v>
      </c>
      <c r="R68" s="276"/>
      <c r="S68" s="276"/>
      <c r="T68" s="276"/>
      <c r="U68" s="276"/>
    </row>
    <row r="69" spans="1:21" s="365" customFormat="1" ht="15.75" x14ac:dyDescent="0.25">
      <c r="A69" s="746"/>
      <c r="B69" s="746"/>
      <c r="C69" s="276"/>
      <c r="D69" s="276"/>
      <c r="E69" s="276"/>
      <c r="F69" s="276"/>
      <c r="G69" s="276"/>
      <c r="H69" s="276"/>
      <c r="I69" s="363"/>
      <c r="J69" s="276"/>
      <c r="K69" s="363"/>
      <c r="L69" s="276"/>
      <c r="M69" s="363"/>
      <c r="N69" s="276"/>
      <c r="O69" s="363"/>
      <c r="P69" s="400">
        <f t="shared" si="1"/>
        <v>0</v>
      </c>
      <c r="Q69" s="401">
        <f t="shared" si="2"/>
        <v>0</v>
      </c>
      <c r="R69" s="276"/>
      <c r="S69" s="276"/>
      <c r="T69" s="276"/>
      <c r="U69" s="276"/>
    </row>
    <row r="70" spans="1:21" s="365" customFormat="1" ht="15.75" x14ac:dyDescent="0.25">
      <c r="A70" s="746"/>
      <c r="B70" s="746"/>
      <c r="C70" s="276"/>
      <c r="D70" s="276"/>
      <c r="E70" s="276"/>
      <c r="F70" s="276"/>
      <c r="G70" s="276"/>
      <c r="H70" s="276"/>
      <c r="I70" s="363"/>
      <c r="J70" s="276"/>
      <c r="K70" s="363"/>
      <c r="L70" s="276"/>
      <c r="M70" s="363"/>
      <c r="N70" s="276"/>
      <c r="O70" s="363"/>
      <c r="P70" s="400">
        <f t="shared" si="1"/>
        <v>0</v>
      </c>
      <c r="Q70" s="401">
        <f t="shared" si="2"/>
        <v>0</v>
      </c>
      <c r="R70" s="276"/>
      <c r="S70" s="276"/>
      <c r="T70" s="276"/>
      <c r="U70" s="276"/>
    </row>
    <row r="71" spans="1:21" s="365" customFormat="1" ht="15.75" x14ac:dyDescent="0.25">
      <c r="A71" s="746"/>
      <c r="B71" s="746"/>
      <c r="C71" s="276"/>
      <c r="D71" s="276"/>
      <c r="E71" s="276"/>
      <c r="F71" s="276"/>
      <c r="G71" s="276"/>
      <c r="H71" s="276"/>
      <c r="I71" s="363"/>
      <c r="J71" s="276"/>
      <c r="K71" s="363"/>
      <c r="L71" s="276"/>
      <c r="M71" s="363"/>
      <c r="N71" s="276"/>
      <c r="O71" s="363"/>
      <c r="P71" s="400">
        <f t="shared" si="1"/>
        <v>0</v>
      </c>
      <c r="Q71" s="401">
        <f t="shared" si="2"/>
        <v>0</v>
      </c>
      <c r="R71" s="276"/>
      <c r="S71" s="276"/>
      <c r="T71" s="276"/>
      <c r="U71" s="276"/>
    </row>
    <row r="72" spans="1:21" ht="15.75" x14ac:dyDescent="0.25">
      <c r="A72" s="746"/>
      <c r="B72" s="746"/>
      <c r="C72" s="276"/>
      <c r="D72" s="276"/>
      <c r="E72" s="276"/>
      <c r="F72" s="276"/>
      <c r="G72" s="276"/>
      <c r="H72" s="276"/>
      <c r="I72" s="363"/>
      <c r="J72" s="276"/>
      <c r="K72" s="363"/>
      <c r="L72" s="276"/>
      <c r="M72" s="363"/>
      <c r="N72" s="276"/>
      <c r="O72" s="363"/>
      <c r="P72" s="400">
        <f t="shared" si="1"/>
        <v>0</v>
      </c>
      <c r="Q72" s="401">
        <f t="shared" si="2"/>
        <v>0</v>
      </c>
      <c r="R72" s="276"/>
      <c r="S72" s="276"/>
      <c r="T72" s="276"/>
      <c r="U72" s="276"/>
    </row>
    <row r="73" spans="1:21" ht="15.75" x14ac:dyDescent="0.25">
      <c r="A73" s="747"/>
      <c r="B73" s="747"/>
      <c r="C73" s="276"/>
      <c r="D73" s="276"/>
      <c r="E73" s="276"/>
      <c r="F73" s="276"/>
      <c r="G73" s="276"/>
      <c r="H73" s="276"/>
      <c r="I73" s="363"/>
      <c r="J73" s="276"/>
      <c r="K73" s="363"/>
      <c r="L73" s="276"/>
      <c r="M73" s="363"/>
      <c r="N73" s="276"/>
      <c r="O73" s="363"/>
      <c r="P73" s="400">
        <f t="shared" si="1"/>
        <v>0</v>
      </c>
      <c r="Q73" s="401">
        <f t="shared" si="2"/>
        <v>0</v>
      </c>
      <c r="R73" s="276"/>
      <c r="S73" s="276"/>
      <c r="T73" s="276"/>
      <c r="U73" s="359"/>
    </row>
    <row r="74" spans="1:21" ht="15.75" x14ac:dyDescent="0.25">
      <c r="A74" s="297"/>
      <c r="B74" s="298"/>
      <c r="C74" s="297" t="s">
        <v>1409</v>
      </c>
      <c r="D74" s="298"/>
      <c r="E74" s="298"/>
      <c r="F74" s="298"/>
      <c r="G74" s="299"/>
      <c r="H74" s="263">
        <f t="shared" ref="H74:Q74" si="13">SUM(H9:H73)</f>
        <v>4.82</v>
      </c>
      <c r="I74" s="232">
        <f t="shared" si="13"/>
        <v>1304867.2854499999</v>
      </c>
      <c r="J74" s="263">
        <f t="shared" si="13"/>
        <v>21.319999999999993</v>
      </c>
      <c r="K74" s="232">
        <f t="shared" si="13"/>
        <v>10269714.205751749</v>
      </c>
      <c r="L74" s="263">
        <f t="shared" si="13"/>
        <v>3.8599999999999994</v>
      </c>
      <c r="M74" s="232">
        <f t="shared" si="13"/>
        <v>1375036.0940999999</v>
      </c>
      <c r="N74" s="263">
        <f t="shared" si="13"/>
        <v>0</v>
      </c>
      <c r="O74" s="232">
        <f t="shared" si="13"/>
        <v>0</v>
      </c>
      <c r="P74" s="232">
        <f t="shared" si="13"/>
        <v>30</v>
      </c>
      <c r="Q74" s="232">
        <f t="shared" si="13"/>
        <v>12949617.585301744</v>
      </c>
      <c r="R74" s="263"/>
      <c r="S74" s="263"/>
      <c r="T74" s="263"/>
      <c r="U74" s="277"/>
    </row>
    <row r="79" spans="1:21" x14ac:dyDescent="0.25">
      <c r="C79" s="464"/>
    </row>
    <row r="80" spans="1:21" x14ac:dyDescent="0.25">
      <c r="C80" s="464"/>
    </row>
    <row r="81" spans="3:3" x14ac:dyDescent="0.25">
      <c r="C81" s="464"/>
    </row>
    <row r="82" spans="3:3" x14ac:dyDescent="0.25">
      <c r="C82" s="464"/>
    </row>
    <row r="83" spans="3:3" x14ac:dyDescent="0.25">
      <c r="C83" s="464"/>
    </row>
    <row r="84" spans="3:3" x14ac:dyDescent="0.25">
      <c r="C84" s="464"/>
    </row>
    <row r="94" spans="3:3" s="259" customFormat="1" ht="12" x14ac:dyDescent="0.25"/>
    <row r="95" spans="3:3" s="259" customFormat="1" ht="12" x14ac:dyDescent="0.25"/>
    <row r="108" s="259" customFormat="1" ht="12" x14ac:dyDescent="0.25"/>
    <row r="109" s="259" customFormat="1" ht="12" x14ac:dyDescent="0.25"/>
  </sheetData>
  <mergeCells count="29">
    <mergeCell ref="B68:B73"/>
    <mergeCell ref="B62:B67"/>
    <mergeCell ref="D31:D34"/>
    <mergeCell ref="E31:E34"/>
    <mergeCell ref="C5:C7"/>
    <mergeCell ref="A62:A73"/>
    <mergeCell ref="B15:B30"/>
    <mergeCell ref="C31:C34"/>
    <mergeCell ref="A3:U3"/>
    <mergeCell ref="B9:B14"/>
    <mergeCell ref="B31:B36"/>
    <mergeCell ref="E5:E7"/>
    <mergeCell ref="A4:U4"/>
    <mergeCell ref="F5:F7"/>
    <mergeCell ref="J6:K6"/>
    <mergeCell ref="L6:M6"/>
    <mergeCell ref="D5:D7"/>
    <mergeCell ref="T5:T7"/>
    <mergeCell ref="U5:U7"/>
    <mergeCell ref="P5:Q6"/>
    <mergeCell ref="N6:O6"/>
    <mergeCell ref="S5:S7"/>
    <mergeCell ref="R5:R7"/>
    <mergeCell ref="A5:A7"/>
    <mergeCell ref="B5:B7"/>
    <mergeCell ref="A9:A61"/>
    <mergeCell ref="G5:G7"/>
    <mergeCell ref="H5:O5"/>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1 C35:C73">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E17" sqref="E17"/>
    </sheetView>
  </sheetViews>
  <sheetFormatPr baseColWidth="10" defaultRowHeight="15" x14ac:dyDescent="0.25"/>
  <cols>
    <col min="1" max="2" width="21.71093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3"/>
      <c r="C1" s="512" t="s">
        <v>1638</v>
      </c>
      <c r="D1" s="283"/>
      <c r="E1" s="283"/>
      <c r="F1" s="283"/>
      <c r="H1" s="283" t="s">
        <v>1419</v>
      </c>
      <c r="J1" s="283"/>
      <c r="K1" s="283"/>
      <c r="L1" s="283"/>
      <c r="M1" s="283"/>
      <c r="N1" s="283"/>
      <c r="O1" s="283"/>
      <c r="P1" s="283"/>
      <c r="Q1" s="283"/>
      <c r="R1" s="283"/>
      <c r="S1" s="283"/>
      <c r="T1" s="283"/>
      <c r="U1" s="283"/>
      <c r="V1" s="283"/>
    </row>
    <row r="2" spans="1:22" s="365" customFormat="1" ht="18.75" x14ac:dyDescent="0.25">
      <c r="A2" s="365" t="s">
        <v>1347</v>
      </c>
      <c r="B2" s="283"/>
      <c r="C2" s="283"/>
      <c r="D2" s="283"/>
      <c r="E2" s="283"/>
      <c r="F2" s="283"/>
      <c r="H2" s="283"/>
      <c r="I2" s="233"/>
      <c r="J2" s="283"/>
      <c r="K2" s="283"/>
      <c r="L2" s="283"/>
      <c r="M2" s="283"/>
      <c r="N2" s="283"/>
      <c r="O2" s="283"/>
      <c r="P2" s="283"/>
      <c r="Q2" s="283"/>
      <c r="R2" s="283"/>
      <c r="S2" s="283"/>
      <c r="T2" s="283"/>
      <c r="U2" s="283"/>
      <c r="V2" s="283"/>
    </row>
    <row r="3" spans="1:22" x14ac:dyDescent="0.25">
      <c r="A3" s="268" t="s">
        <v>1422</v>
      </c>
      <c r="B3" s="268"/>
      <c r="C3" s="268"/>
      <c r="D3" s="268"/>
      <c r="E3" s="268"/>
      <c r="F3" s="268"/>
      <c r="G3" s="268"/>
      <c r="H3" s="268"/>
      <c r="I3" s="268"/>
      <c r="J3" s="268"/>
      <c r="K3" s="268"/>
      <c r="L3" s="268"/>
      <c r="M3" s="268"/>
      <c r="N3" s="268"/>
      <c r="O3" s="268"/>
      <c r="P3" s="268"/>
      <c r="Q3" s="268"/>
      <c r="R3" s="268"/>
      <c r="S3" s="268"/>
      <c r="T3" s="268"/>
      <c r="U3" s="268"/>
      <c r="V3" s="268"/>
    </row>
    <row r="4" spans="1:22" ht="1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101</v>
      </c>
      <c r="S4" s="722" t="s">
        <v>102</v>
      </c>
      <c r="T4" s="722" t="s">
        <v>109</v>
      </c>
      <c r="U4" s="722" t="s">
        <v>108</v>
      </c>
      <c r="V4" s="738" t="s">
        <v>88</v>
      </c>
    </row>
    <row r="5" spans="1:22"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20"/>
      <c r="V5" s="739"/>
    </row>
    <row r="6" spans="1:22" ht="25.5"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21"/>
      <c r="V6" s="740"/>
    </row>
    <row r="7" spans="1:22" s="365" customFormat="1" ht="15.75" x14ac:dyDescent="0.25">
      <c r="A7" s="441"/>
      <c r="B7" s="442"/>
      <c r="C7" s="443"/>
      <c r="D7" s="443"/>
      <c r="E7" s="443"/>
      <c r="F7" s="444"/>
      <c r="G7" s="443"/>
      <c r="H7" s="445"/>
      <c r="I7" s="445"/>
      <c r="J7" s="445"/>
      <c r="K7" s="445"/>
      <c r="L7" s="445"/>
      <c r="M7" s="445"/>
      <c r="N7" s="445"/>
      <c r="O7" s="445"/>
      <c r="P7" s="445"/>
      <c r="Q7" s="445"/>
      <c r="R7" s="446"/>
      <c r="S7" s="446"/>
      <c r="T7" s="446"/>
      <c r="U7" s="446"/>
      <c r="V7" s="447"/>
    </row>
    <row r="8" spans="1:22" ht="15.75" customHeight="1" x14ac:dyDescent="0.25">
      <c r="A8" s="748" t="s">
        <v>1420</v>
      </c>
      <c r="B8" s="745" t="s">
        <v>1421</v>
      </c>
      <c r="C8" s="325"/>
      <c r="D8" s="325"/>
      <c r="E8" s="325"/>
      <c r="F8" s="325"/>
      <c r="G8" s="325"/>
      <c r="H8" s="355"/>
      <c r="I8" s="356"/>
      <c r="J8" s="355"/>
      <c r="K8" s="356"/>
      <c r="L8" s="355"/>
      <c r="M8" s="356"/>
      <c r="N8" s="355"/>
      <c r="O8" s="356"/>
      <c r="P8" s="400">
        <f t="shared" ref="P8:Q8" si="0">H8+J8+L8+N8</f>
        <v>0</v>
      </c>
      <c r="Q8" s="401">
        <f t="shared" si="0"/>
        <v>0</v>
      </c>
      <c r="R8" s="325"/>
      <c r="S8" s="325"/>
      <c r="T8" s="325"/>
      <c r="U8" s="325"/>
      <c r="V8" s="325"/>
    </row>
    <row r="9" spans="1:22" ht="15.75" x14ac:dyDescent="0.25">
      <c r="A9" s="748"/>
      <c r="B9" s="746"/>
      <c r="C9" s="325"/>
      <c r="D9" s="325"/>
      <c r="E9" s="325"/>
      <c r="F9" s="325"/>
      <c r="G9" s="325"/>
      <c r="H9" s="355"/>
      <c r="I9" s="356"/>
      <c r="J9" s="355"/>
      <c r="K9" s="356"/>
      <c r="L9" s="355"/>
      <c r="M9" s="356"/>
      <c r="N9" s="355"/>
      <c r="O9" s="356"/>
      <c r="P9" s="400">
        <f t="shared" ref="P9:P20" si="1">H9+J9+L9+N9</f>
        <v>0</v>
      </c>
      <c r="Q9" s="401">
        <f t="shared" ref="Q9:Q20" si="2">I9+K9+M9+O9</f>
        <v>0</v>
      </c>
      <c r="R9" s="325"/>
      <c r="S9" s="325"/>
      <c r="T9" s="325"/>
      <c r="U9" s="325"/>
      <c r="V9" s="325"/>
    </row>
    <row r="10" spans="1:22" s="365" customFormat="1" ht="15.75" x14ac:dyDescent="0.25">
      <c r="A10" s="748"/>
      <c r="B10" s="746"/>
      <c r="C10" s="325"/>
      <c r="D10" s="325"/>
      <c r="E10" s="325"/>
      <c r="F10" s="325"/>
      <c r="G10" s="325"/>
      <c r="H10" s="355"/>
      <c r="I10" s="356"/>
      <c r="J10" s="355"/>
      <c r="K10" s="356"/>
      <c r="L10" s="355"/>
      <c r="M10" s="356"/>
      <c r="N10" s="355"/>
      <c r="O10" s="356"/>
      <c r="P10" s="400">
        <f t="shared" ref="P10:P15" si="3">H10+J10+L10+N10</f>
        <v>0</v>
      </c>
      <c r="Q10" s="401">
        <f t="shared" ref="Q10:Q15" si="4">I10+K10+M10+O10</f>
        <v>0</v>
      </c>
      <c r="R10" s="325"/>
      <c r="S10" s="325"/>
      <c r="T10" s="325"/>
      <c r="U10" s="325"/>
      <c r="V10" s="325"/>
    </row>
    <row r="11" spans="1:22" s="365" customFormat="1" ht="15.75" x14ac:dyDescent="0.25">
      <c r="A11" s="748"/>
      <c r="B11" s="746"/>
      <c r="C11" s="325"/>
      <c r="D11" s="325"/>
      <c r="E11" s="325"/>
      <c r="F11" s="325"/>
      <c r="G11" s="325"/>
      <c r="H11" s="355"/>
      <c r="I11" s="356"/>
      <c r="J11" s="355"/>
      <c r="K11" s="356"/>
      <c r="L11" s="355"/>
      <c r="M11" s="356"/>
      <c r="N11" s="355"/>
      <c r="O11" s="356"/>
      <c r="P11" s="400">
        <f t="shared" si="3"/>
        <v>0</v>
      </c>
      <c r="Q11" s="401">
        <f t="shared" si="4"/>
        <v>0</v>
      </c>
      <c r="R11" s="325"/>
      <c r="S11" s="325"/>
      <c r="T11" s="325"/>
      <c r="U11" s="325"/>
      <c r="V11" s="325"/>
    </row>
    <row r="12" spans="1:22" s="365" customFormat="1" ht="15.75" x14ac:dyDescent="0.25">
      <c r="A12" s="748"/>
      <c r="B12" s="746"/>
      <c r="C12" s="325"/>
      <c r="D12" s="325"/>
      <c r="E12" s="325"/>
      <c r="F12" s="325"/>
      <c r="G12" s="325"/>
      <c r="H12" s="355"/>
      <c r="I12" s="356"/>
      <c r="J12" s="355"/>
      <c r="K12" s="356"/>
      <c r="L12" s="355"/>
      <c r="M12" s="356"/>
      <c r="N12" s="355"/>
      <c r="O12" s="356"/>
      <c r="P12" s="400">
        <f t="shared" si="3"/>
        <v>0</v>
      </c>
      <c r="Q12" s="401">
        <f t="shared" si="4"/>
        <v>0</v>
      </c>
      <c r="R12" s="325"/>
      <c r="S12" s="325"/>
      <c r="T12" s="325"/>
      <c r="U12" s="325"/>
      <c r="V12" s="325"/>
    </row>
    <row r="13" spans="1:22" s="365" customFormat="1" ht="15.75" x14ac:dyDescent="0.25">
      <c r="A13" s="748"/>
      <c r="B13" s="746"/>
      <c r="C13" s="325"/>
      <c r="D13" s="325"/>
      <c r="E13" s="325"/>
      <c r="F13" s="325"/>
      <c r="G13" s="325"/>
      <c r="H13" s="355"/>
      <c r="I13" s="356"/>
      <c r="J13" s="355"/>
      <c r="K13" s="356"/>
      <c r="L13" s="355"/>
      <c r="M13" s="356"/>
      <c r="N13" s="355"/>
      <c r="O13" s="356"/>
      <c r="P13" s="400">
        <f t="shared" ref="P13:P14" si="5">H13+J13+L13+N13</f>
        <v>0</v>
      </c>
      <c r="Q13" s="401">
        <f t="shared" ref="Q13:Q14" si="6">I13+K13+M13+O13</f>
        <v>0</v>
      </c>
      <c r="R13" s="325"/>
      <c r="S13" s="325"/>
      <c r="T13" s="325"/>
      <c r="U13" s="325"/>
      <c r="V13" s="325"/>
    </row>
    <row r="14" spans="1:22" s="365" customFormat="1" ht="15.75" x14ac:dyDescent="0.25">
      <c r="A14" s="748"/>
      <c r="B14" s="746"/>
      <c r="C14" s="325"/>
      <c r="D14" s="325"/>
      <c r="E14" s="325"/>
      <c r="F14" s="325"/>
      <c r="G14" s="325"/>
      <c r="H14" s="355"/>
      <c r="I14" s="356"/>
      <c r="J14" s="355"/>
      <c r="K14" s="356"/>
      <c r="L14" s="355"/>
      <c r="M14" s="356"/>
      <c r="N14" s="355"/>
      <c r="O14" s="356"/>
      <c r="P14" s="400">
        <f t="shared" si="5"/>
        <v>0</v>
      </c>
      <c r="Q14" s="401">
        <f t="shared" si="6"/>
        <v>0</v>
      </c>
      <c r="R14" s="325"/>
      <c r="S14" s="325"/>
      <c r="T14" s="325"/>
      <c r="U14" s="325"/>
      <c r="V14" s="325"/>
    </row>
    <row r="15" spans="1:22" ht="15.75" x14ac:dyDescent="0.25">
      <c r="A15" s="748"/>
      <c r="B15" s="746"/>
      <c r="C15" s="325"/>
      <c r="D15" s="325"/>
      <c r="E15" s="325"/>
      <c r="F15" s="325"/>
      <c r="G15" s="325"/>
      <c r="H15" s="355"/>
      <c r="I15" s="356"/>
      <c r="J15" s="355"/>
      <c r="K15" s="356"/>
      <c r="L15" s="355"/>
      <c r="M15" s="356"/>
      <c r="N15" s="355"/>
      <c r="O15" s="356"/>
      <c r="P15" s="400">
        <f t="shared" si="3"/>
        <v>0</v>
      </c>
      <c r="Q15" s="401">
        <f t="shared" si="4"/>
        <v>0</v>
      </c>
      <c r="R15" s="325"/>
      <c r="S15" s="325"/>
      <c r="T15" s="325"/>
      <c r="U15" s="325"/>
      <c r="V15" s="325"/>
    </row>
    <row r="16" spans="1:22" ht="15.75" x14ac:dyDescent="0.25">
      <c r="A16" s="748"/>
      <c r="B16" s="746"/>
      <c r="C16" s="325"/>
      <c r="D16" s="325"/>
      <c r="E16" s="325"/>
      <c r="F16" s="325"/>
      <c r="G16" s="325"/>
      <c r="H16" s="355"/>
      <c r="I16" s="356"/>
      <c r="J16" s="355"/>
      <c r="K16" s="356"/>
      <c r="L16" s="355"/>
      <c r="M16" s="356"/>
      <c r="N16" s="355"/>
      <c r="O16" s="356"/>
      <c r="P16" s="400">
        <f t="shared" si="1"/>
        <v>0</v>
      </c>
      <c r="Q16" s="401">
        <f t="shared" si="2"/>
        <v>0</v>
      </c>
      <c r="R16" s="325"/>
      <c r="S16" s="325"/>
      <c r="T16" s="325"/>
      <c r="U16" s="325"/>
      <c r="V16" s="325"/>
    </row>
    <row r="17" spans="1:22" ht="15.75" x14ac:dyDescent="0.25">
      <c r="A17" s="748"/>
      <c r="B17" s="746"/>
      <c r="C17" s="325"/>
      <c r="D17" s="325"/>
      <c r="E17" s="325"/>
      <c r="F17" s="325"/>
      <c r="G17" s="325"/>
      <c r="H17" s="355"/>
      <c r="I17" s="356"/>
      <c r="J17" s="355"/>
      <c r="K17" s="356"/>
      <c r="L17" s="355"/>
      <c r="M17" s="356"/>
      <c r="N17" s="355"/>
      <c r="O17" s="356"/>
      <c r="P17" s="400">
        <f t="shared" si="1"/>
        <v>0</v>
      </c>
      <c r="Q17" s="401">
        <f t="shared" si="2"/>
        <v>0</v>
      </c>
      <c r="R17" s="325"/>
      <c r="S17" s="325"/>
      <c r="T17" s="325"/>
      <c r="U17" s="325"/>
      <c r="V17" s="325"/>
    </row>
    <row r="18" spans="1:22" ht="15.75" x14ac:dyDescent="0.25">
      <c r="A18" s="748"/>
      <c r="B18" s="746"/>
      <c r="C18" s="325"/>
      <c r="D18" s="325"/>
      <c r="E18" s="325"/>
      <c r="F18" s="325"/>
      <c r="G18" s="325"/>
      <c r="H18" s="355"/>
      <c r="I18" s="356"/>
      <c r="J18" s="355"/>
      <c r="K18" s="356"/>
      <c r="L18" s="355"/>
      <c r="M18" s="356"/>
      <c r="N18" s="355"/>
      <c r="O18" s="356"/>
      <c r="P18" s="400">
        <f t="shared" si="1"/>
        <v>0</v>
      </c>
      <c r="Q18" s="401">
        <f t="shared" si="2"/>
        <v>0</v>
      </c>
      <c r="R18" s="325"/>
      <c r="S18" s="325"/>
      <c r="T18" s="325"/>
      <c r="U18" s="325"/>
      <c r="V18" s="325"/>
    </row>
    <row r="19" spans="1:22" ht="15.75" x14ac:dyDescent="0.25">
      <c r="A19" s="748"/>
      <c r="B19" s="746"/>
      <c r="C19" s="325"/>
      <c r="D19" s="325"/>
      <c r="E19" s="325"/>
      <c r="F19" s="325"/>
      <c r="G19" s="325"/>
      <c r="H19" s="355"/>
      <c r="I19" s="356"/>
      <c r="J19" s="355"/>
      <c r="K19" s="356"/>
      <c r="L19" s="355"/>
      <c r="M19" s="356"/>
      <c r="N19" s="355"/>
      <c r="O19" s="356"/>
      <c r="P19" s="400">
        <f t="shared" si="1"/>
        <v>0</v>
      </c>
      <c r="Q19" s="401">
        <f t="shared" si="2"/>
        <v>0</v>
      </c>
      <c r="R19" s="325"/>
      <c r="S19" s="325"/>
      <c r="T19" s="325"/>
      <c r="U19" s="325"/>
      <c r="V19" s="325"/>
    </row>
    <row r="20" spans="1:22" ht="15.75" x14ac:dyDescent="0.25">
      <c r="A20" s="748"/>
      <c r="B20" s="747"/>
      <c r="C20" s="325"/>
      <c r="D20" s="325"/>
      <c r="E20" s="325"/>
      <c r="F20" s="325"/>
      <c r="G20" s="325"/>
      <c r="H20" s="355"/>
      <c r="I20" s="356"/>
      <c r="J20" s="355"/>
      <c r="K20" s="356"/>
      <c r="L20" s="355"/>
      <c r="M20" s="356"/>
      <c r="N20" s="355"/>
      <c r="O20" s="356"/>
      <c r="P20" s="400">
        <f t="shared" si="1"/>
        <v>0</v>
      </c>
      <c r="Q20" s="401">
        <f t="shared" si="2"/>
        <v>0</v>
      </c>
      <c r="R20" s="325"/>
      <c r="S20" s="325"/>
      <c r="T20" s="325"/>
      <c r="U20" s="325"/>
      <c r="V20" s="325"/>
    </row>
    <row r="21" spans="1:22" ht="15.6" customHeight="1" x14ac:dyDescent="0.25">
      <c r="A21" s="291"/>
      <c r="B21" s="292"/>
      <c r="C21" s="291" t="s">
        <v>1509</v>
      </c>
      <c r="D21" s="292"/>
      <c r="E21" s="292"/>
      <c r="F21" s="292"/>
      <c r="G21" s="293"/>
      <c r="H21" s="286">
        <f t="shared" ref="H21:Q21" si="7">SUM(H8:H20)</f>
        <v>0</v>
      </c>
      <c r="I21" s="235">
        <f t="shared" si="7"/>
        <v>0</v>
      </c>
      <c r="J21" s="286">
        <f t="shared" si="7"/>
        <v>0</v>
      </c>
      <c r="K21" s="235">
        <f t="shared" si="7"/>
        <v>0</v>
      </c>
      <c r="L21" s="286">
        <f t="shared" si="7"/>
        <v>0</v>
      </c>
      <c r="M21" s="235">
        <f t="shared" si="7"/>
        <v>0</v>
      </c>
      <c r="N21" s="286">
        <f t="shared" si="7"/>
        <v>0</v>
      </c>
      <c r="O21" s="235">
        <f t="shared" si="7"/>
        <v>0</v>
      </c>
      <c r="P21" s="235">
        <f t="shared" si="7"/>
        <v>0</v>
      </c>
      <c r="Q21" s="235">
        <f t="shared" si="7"/>
        <v>0</v>
      </c>
      <c r="R21" s="263"/>
      <c r="S21" s="263"/>
      <c r="T21" s="263"/>
      <c r="U21" s="263"/>
      <c r="V21" s="263"/>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12"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4"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3" t="s">
        <v>1639</v>
      </c>
      <c r="D1" s="513" t="s">
        <v>1640</v>
      </c>
      <c r="E1" s="241"/>
      <c r="F1" s="243"/>
      <c r="G1" s="241"/>
      <c r="H1" s="290" t="s">
        <v>1353</v>
      </c>
      <c r="K1" s="241"/>
      <c r="L1" s="241"/>
      <c r="M1" s="241"/>
      <c r="N1" s="241"/>
      <c r="O1" s="241"/>
      <c r="P1" s="241"/>
      <c r="Q1" s="241"/>
      <c r="R1" s="241"/>
      <c r="S1" s="241"/>
      <c r="T1" s="241"/>
      <c r="U1" s="241"/>
      <c r="V1" s="241"/>
    </row>
    <row r="2" spans="1:22" ht="18" customHeight="1" x14ac:dyDescent="0.25">
      <c r="B2" s="243"/>
      <c r="C2" s="243"/>
      <c r="D2" s="243"/>
      <c r="E2" s="243"/>
      <c r="F2" s="243"/>
      <c r="G2" s="243"/>
      <c r="H2" s="290"/>
      <c r="K2" s="243"/>
      <c r="L2" s="243"/>
      <c r="M2" s="243"/>
      <c r="N2" s="243"/>
      <c r="O2" s="243"/>
      <c r="P2" s="243"/>
      <c r="Q2" s="243"/>
      <c r="R2" s="243"/>
      <c r="S2" s="243"/>
      <c r="T2" s="243"/>
      <c r="U2" s="243"/>
      <c r="V2" s="243"/>
    </row>
    <row r="3" spans="1:22" ht="18" customHeight="1" x14ac:dyDescent="0.25">
      <c r="A3" s="315" t="s">
        <v>1346</v>
      </c>
      <c r="B3" s="243"/>
      <c r="C3" s="243"/>
      <c r="D3" s="243"/>
      <c r="E3" s="243"/>
      <c r="F3" s="243"/>
      <c r="G3" s="243"/>
      <c r="H3" s="290"/>
      <c r="K3" s="243"/>
      <c r="L3" s="243"/>
      <c r="M3" s="243"/>
      <c r="N3" s="243"/>
      <c r="O3" s="243"/>
      <c r="P3" s="243"/>
      <c r="Q3" s="243"/>
      <c r="R3" s="243"/>
      <c r="S3" s="243"/>
      <c r="T3" s="243"/>
      <c r="U3" s="243"/>
      <c r="V3" s="243"/>
    </row>
    <row r="4" spans="1:22" ht="33" customHeight="1" x14ac:dyDescent="0.25">
      <c r="A4" s="774" t="s">
        <v>1352</v>
      </c>
      <c r="B4" s="774"/>
      <c r="C4" s="774"/>
      <c r="D4" s="774"/>
      <c r="E4" s="774"/>
      <c r="F4" s="774"/>
      <c r="G4" s="774"/>
      <c r="H4" s="774"/>
      <c r="I4" s="774"/>
      <c r="J4" s="774"/>
      <c r="K4" s="774"/>
      <c r="L4" s="774"/>
      <c r="M4" s="774"/>
      <c r="N4" s="774"/>
      <c r="O4" s="774"/>
      <c r="P4" s="774"/>
      <c r="Q4" s="774"/>
      <c r="R4" s="774"/>
      <c r="S4" s="774"/>
      <c r="T4" s="774"/>
      <c r="U4" s="774"/>
      <c r="V4" s="774"/>
    </row>
    <row r="5" spans="1:22" ht="14.45" customHeight="1" x14ac:dyDescent="0.25">
      <c r="A5" s="720" t="s">
        <v>96</v>
      </c>
      <c r="B5" s="722" t="s">
        <v>110</v>
      </c>
      <c r="C5" s="732" t="s">
        <v>1530</v>
      </c>
      <c r="D5" s="732" t="s">
        <v>1531</v>
      </c>
      <c r="E5" s="732" t="s">
        <v>86</v>
      </c>
      <c r="F5" s="732" t="s">
        <v>391</v>
      </c>
      <c r="G5" s="732" t="s">
        <v>87</v>
      </c>
      <c r="H5" s="735" t="s">
        <v>99</v>
      </c>
      <c r="I5" s="737"/>
      <c r="J5" s="737"/>
      <c r="K5" s="737"/>
      <c r="L5" s="737"/>
      <c r="M5" s="737"/>
      <c r="N5" s="737"/>
      <c r="O5" s="736"/>
      <c r="P5" s="741" t="s">
        <v>100</v>
      </c>
      <c r="Q5" s="742"/>
      <c r="R5" s="722" t="s">
        <v>101</v>
      </c>
      <c r="S5" s="722" t="s">
        <v>102</v>
      </c>
      <c r="T5" s="722" t="s">
        <v>109</v>
      </c>
      <c r="U5" s="722" t="s">
        <v>108</v>
      </c>
      <c r="V5" s="738" t="s">
        <v>88</v>
      </c>
    </row>
    <row r="6" spans="1:22" ht="14.45" customHeight="1" x14ac:dyDescent="0.25">
      <c r="A6" s="720"/>
      <c r="B6" s="720"/>
      <c r="C6" s="733"/>
      <c r="D6" s="733"/>
      <c r="E6" s="733"/>
      <c r="F6" s="733"/>
      <c r="G6" s="733"/>
      <c r="H6" s="735" t="s">
        <v>103</v>
      </c>
      <c r="I6" s="736"/>
      <c r="J6" s="735" t="s">
        <v>104</v>
      </c>
      <c r="K6" s="736"/>
      <c r="L6" s="735" t="s">
        <v>105</v>
      </c>
      <c r="M6" s="736"/>
      <c r="N6" s="735" t="s">
        <v>106</v>
      </c>
      <c r="O6" s="736"/>
      <c r="P6" s="743"/>
      <c r="Q6" s="744"/>
      <c r="R6" s="720"/>
      <c r="S6" s="720"/>
      <c r="T6" s="720"/>
      <c r="U6" s="720"/>
      <c r="V6" s="739"/>
    </row>
    <row r="7" spans="1:22" ht="25.5" x14ac:dyDescent="0.25">
      <c r="A7" s="721"/>
      <c r="B7" s="721"/>
      <c r="C7" s="734"/>
      <c r="D7" s="734"/>
      <c r="E7" s="734"/>
      <c r="F7" s="734"/>
      <c r="G7" s="734"/>
      <c r="H7" s="440" t="s">
        <v>107</v>
      </c>
      <c r="I7" s="440" t="s">
        <v>12</v>
      </c>
      <c r="J7" s="440" t="s">
        <v>107</v>
      </c>
      <c r="K7" s="440" t="s">
        <v>12</v>
      </c>
      <c r="L7" s="440" t="s">
        <v>107</v>
      </c>
      <c r="M7" s="440" t="s">
        <v>12</v>
      </c>
      <c r="N7" s="440" t="s">
        <v>107</v>
      </c>
      <c r="O7" s="440" t="s">
        <v>12</v>
      </c>
      <c r="P7" s="440" t="s">
        <v>107</v>
      </c>
      <c r="Q7" s="440" t="s">
        <v>12</v>
      </c>
      <c r="R7" s="721"/>
      <c r="S7" s="721"/>
      <c r="T7" s="721"/>
      <c r="U7" s="721"/>
      <c r="V7" s="740"/>
    </row>
    <row r="8" spans="1:22" ht="15.6" customHeight="1" x14ac:dyDescent="0.25">
      <c r="A8" s="441"/>
      <c r="B8" s="442"/>
      <c r="C8" s="443"/>
      <c r="D8" s="443"/>
      <c r="E8" s="443"/>
      <c r="F8" s="444"/>
      <c r="G8" s="443"/>
      <c r="H8" s="445"/>
      <c r="I8" s="445"/>
      <c r="J8" s="445"/>
      <c r="K8" s="445"/>
      <c r="L8" s="445"/>
      <c r="M8" s="445"/>
      <c r="N8" s="445"/>
      <c r="O8" s="445"/>
      <c r="P8" s="445"/>
      <c r="Q8" s="445"/>
      <c r="R8" s="446"/>
      <c r="S8" s="446"/>
      <c r="T8" s="446"/>
      <c r="U8" s="446"/>
      <c r="V8" s="447"/>
    </row>
    <row r="9" spans="1:22" ht="15.75" x14ac:dyDescent="0.25">
      <c r="A9" s="775" t="s">
        <v>1423</v>
      </c>
      <c r="B9" s="723" t="s">
        <v>1424</v>
      </c>
      <c r="C9" s="325"/>
      <c r="D9" s="325"/>
      <c r="E9" s="325"/>
      <c r="F9" s="325"/>
      <c r="G9" s="325"/>
      <c r="H9" s="351"/>
      <c r="I9" s="354"/>
      <c r="J9" s="351"/>
      <c r="K9" s="354"/>
      <c r="L9" s="351"/>
      <c r="M9" s="354"/>
      <c r="N9" s="351"/>
      <c r="O9" s="354"/>
      <c r="P9" s="403">
        <f t="shared" ref="P9:Q20" si="0">H9+J9+L9+N9</f>
        <v>0</v>
      </c>
      <c r="Q9" s="401">
        <f t="shared" si="0"/>
        <v>0</v>
      </c>
      <c r="R9" s="325"/>
      <c r="S9" s="325"/>
      <c r="T9" s="325"/>
      <c r="U9" s="325"/>
      <c r="V9" s="325"/>
    </row>
    <row r="10" spans="1:22" ht="15.75" x14ac:dyDescent="0.25">
      <c r="A10" s="776"/>
      <c r="B10" s="724"/>
      <c r="C10" s="325"/>
      <c r="D10" s="325"/>
      <c r="E10" s="325"/>
      <c r="F10" s="325"/>
      <c r="G10" s="325"/>
      <c r="H10" s="351"/>
      <c r="I10" s="354"/>
      <c r="J10" s="351"/>
      <c r="K10" s="354"/>
      <c r="L10" s="351"/>
      <c r="M10" s="354"/>
      <c r="N10" s="351"/>
      <c r="O10" s="354"/>
      <c r="P10" s="403">
        <f t="shared" si="0"/>
        <v>0</v>
      </c>
      <c r="Q10" s="401">
        <f t="shared" si="0"/>
        <v>0</v>
      </c>
      <c r="R10" s="325"/>
      <c r="S10" s="325"/>
      <c r="T10" s="325"/>
      <c r="U10" s="325"/>
      <c r="V10" s="325"/>
    </row>
    <row r="11" spans="1:22" ht="15.75" x14ac:dyDescent="0.25">
      <c r="A11" s="776"/>
      <c r="B11" s="724"/>
      <c r="C11" s="325"/>
      <c r="D11" s="325"/>
      <c r="E11" s="325"/>
      <c r="F11" s="325"/>
      <c r="G11" s="325"/>
      <c r="H11" s="351"/>
      <c r="I11" s="354"/>
      <c r="J11" s="351"/>
      <c r="K11" s="354"/>
      <c r="L11" s="351"/>
      <c r="M11" s="354"/>
      <c r="N11" s="351"/>
      <c r="O11" s="354"/>
      <c r="P11" s="403">
        <f t="shared" si="0"/>
        <v>0</v>
      </c>
      <c r="Q11" s="401">
        <f t="shared" si="0"/>
        <v>0</v>
      </c>
      <c r="R11" s="325"/>
      <c r="S11" s="325"/>
      <c r="T11" s="325"/>
      <c r="U11" s="325"/>
      <c r="V11" s="325"/>
    </row>
    <row r="12" spans="1:22" ht="15.75" x14ac:dyDescent="0.25">
      <c r="A12" s="776"/>
      <c r="B12" s="724"/>
      <c r="C12" s="325"/>
      <c r="D12" s="325"/>
      <c r="E12" s="325"/>
      <c r="F12" s="325"/>
      <c r="G12" s="325"/>
      <c r="H12" s="351"/>
      <c r="I12" s="354"/>
      <c r="J12" s="351"/>
      <c r="K12" s="354"/>
      <c r="L12" s="351"/>
      <c r="M12" s="354"/>
      <c r="N12" s="351"/>
      <c r="O12" s="354"/>
      <c r="P12" s="403">
        <f t="shared" si="0"/>
        <v>0</v>
      </c>
      <c r="Q12" s="401">
        <f t="shared" si="0"/>
        <v>0</v>
      </c>
      <c r="R12" s="325"/>
      <c r="S12" s="325"/>
      <c r="T12" s="325"/>
      <c r="U12" s="325"/>
      <c r="V12" s="72"/>
    </row>
    <row r="13" spans="1:22" ht="15.75" x14ac:dyDescent="0.25">
      <c r="A13" s="776"/>
      <c r="B13" s="724"/>
      <c r="C13" s="325"/>
      <c r="D13" s="325"/>
      <c r="E13" s="325"/>
      <c r="F13" s="325"/>
      <c r="G13" s="276"/>
      <c r="H13" s="357"/>
      <c r="I13" s="354"/>
      <c r="J13" s="357"/>
      <c r="K13" s="354"/>
      <c r="L13" s="357"/>
      <c r="M13" s="354"/>
      <c r="N13" s="357"/>
      <c r="O13" s="354"/>
      <c r="P13" s="403">
        <f t="shared" si="0"/>
        <v>0</v>
      </c>
      <c r="Q13" s="401">
        <f t="shared" si="0"/>
        <v>0</v>
      </c>
      <c r="R13" s="325"/>
      <c r="S13" s="325"/>
      <c r="T13" s="325"/>
      <c r="U13" s="325"/>
      <c r="V13" s="276"/>
    </row>
    <row r="14" spans="1:22" ht="15.75" x14ac:dyDescent="0.25">
      <c r="A14" s="776"/>
      <c r="B14" s="724"/>
      <c r="C14" s="325"/>
      <c r="D14" s="325"/>
      <c r="E14" s="325"/>
      <c r="F14" s="325"/>
      <c r="G14" s="325"/>
      <c r="H14" s="351"/>
      <c r="I14" s="354"/>
      <c r="J14" s="351"/>
      <c r="K14" s="354"/>
      <c r="L14" s="351"/>
      <c r="M14" s="354"/>
      <c r="N14" s="351"/>
      <c r="O14" s="354"/>
      <c r="P14" s="403">
        <f t="shared" si="0"/>
        <v>0</v>
      </c>
      <c r="Q14" s="401">
        <f t="shared" si="0"/>
        <v>0</v>
      </c>
      <c r="R14" s="325"/>
      <c r="S14" s="325"/>
      <c r="T14" s="325"/>
      <c r="U14" s="325"/>
      <c r="V14" s="325"/>
    </row>
    <row r="15" spans="1:22" ht="15.75" x14ac:dyDescent="0.25">
      <c r="A15" s="776"/>
      <c r="B15" s="724"/>
      <c r="C15" s="325"/>
      <c r="D15" s="325"/>
      <c r="E15" s="325"/>
      <c r="F15" s="325"/>
      <c r="G15" s="73"/>
      <c r="H15" s="351"/>
      <c r="I15" s="354"/>
      <c r="J15" s="351"/>
      <c r="K15" s="354"/>
      <c r="L15" s="351"/>
      <c r="M15" s="354"/>
      <c r="N15" s="351"/>
      <c r="O15" s="354"/>
      <c r="P15" s="403">
        <f t="shared" si="0"/>
        <v>0</v>
      </c>
      <c r="Q15" s="401">
        <f t="shared" si="0"/>
        <v>0</v>
      </c>
      <c r="R15" s="325"/>
      <c r="S15" s="325"/>
      <c r="T15" s="325"/>
      <c r="U15" s="325"/>
      <c r="V15" s="325"/>
    </row>
    <row r="16" spans="1:22" ht="15.75" x14ac:dyDescent="0.25">
      <c r="A16" s="776"/>
      <c r="B16" s="724"/>
      <c r="C16" s="325"/>
      <c r="D16" s="325"/>
      <c r="E16" s="325"/>
      <c r="F16" s="325"/>
      <c r="G16" s="325"/>
      <c r="H16" s="351"/>
      <c r="I16" s="354"/>
      <c r="J16" s="351"/>
      <c r="K16" s="354"/>
      <c r="L16" s="351"/>
      <c r="M16" s="354"/>
      <c r="N16" s="351"/>
      <c r="O16" s="354"/>
      <c r="P16" s="403">
        <f t="shared" si="0"/>
        <v>0</v>
      </c>
      <c r="Q16" s="401">
        <f t="shared" si="0"/>
        <v>0</v>
      </c>
      <c r="R16" s="325"/>
      <c r="S16" s="325"/>
      <c r="T16" s="325"/>
      <c r="U16" s="325"/>
      <c r="V16" s="325"/>
    </row>
    <row r="17" spans="1:22" ht="15.75" x14ac:dyDescent="0.25">
      <c r="A17" s="776"/>
      <c r="B17" s="724"/>
      <c r="C17" s="325"/>
      <c r="D17" s="325"/>
      <c r="E17" s="325"/>
      <c r="F17" s="325"/>
      <c r="G17" s="325"/>
      <c r="H17" s="357"/>
      <c r="I17" s="354"/>
      <c r="J17" s="357"/>
      <c r="K17" s="354"/>
      <c r="L17" s="357"/>
      <c r="M17" s="354"/>
      <c r="N17" s="357"/>
      <c r="O17" s="354"/>
      <c r="P17" s="403">
        <f t="shared" si="0"/>
        <v>0</v>
      </c>
      <c r="Q17" s="401">
        <f t="shared" si="0"/>
        <v>0</v>
      </c>
      <c r="R17" s="351"/>
      <c r="S17" s="351"/>
      <c r="T17" s="351"/>
      <c r="U17" s="351"/>
      <c r="V17" s="325"/>
    </row>
    <row r="18" spans="1:22" ht="15.75" x14ac:dyDescent="0.25">
      <c r="A18" s="776"/>
      <c r="B18" s="724"/>
      <c r="C18" s="325"/>
      <c r="D18" s="325"/>
      <c r="E18" s="325"/>
      <c r="F18" s="325"/>
      <c r="G18" s="325"/>
      <c r="H18" s="351"/>
      <c r="I18" s="354"/>
      <c r="J18" s="351"/>
      <c r="K18" s="354"/>
      <c r="L18" s="351"/>
      <c r="M18" s="354"/>
      <c r="N18" s="351"/>
      <c r="O18" s="354"/>
      <c r="P18" s="404">
        <f t="shared" si="0"/>
        <v>0</v>
      </c>
      <c r="Q18" s="405">
        <f t="shared" si="0"/>
        <v>0</v>
      </c>
      <c r="R18" s="325"/>
      <c r="S18" s="325"/>
      <c r="T18" s="325"/>
      <c r="U18" s="325"/>
      <c r="V18" s="325"/>
    </row>
    <row r="19" spans="1:22" ht="15.75" x14ac:dyDescent="0.25">
      <c r="A19" s="776"/>
      <c r="B19" s="724"/>
      <c r="C19" s="325"/>
      <c r="D19" s="325"/>
      <c r="E19" s="325"/>
      <c r="F19" s="325"/>
      <c r="G19" s="325"/>
      <c r="H19" s="351"/>
      <c r="I19" s="354"/>
      <c r="J19" s="351"/>
      <c r="K19" s="354"/>
      <c r="L19" s="351"/>
      <c r="M19" s="354"/>
      <c r="N19" s="351"/>
      <c r="O19" s="354"/>
      <c r="P19" s="404">
        <f t="shared" si="0"/>
        <v>0</v>
      </c>
      <c r="Q19" s="405">
        <f t="shared" si="0"/>
        <v>0</v>
      </c>
      <c r="R19" s="325"/>
      <c r="S19" s="325"/>
      <c r="T19" s="325"/>
      <c r="U19" s="325"/>
      <c r="V19" s="366"/>
    </row>
    <row r="20" spans="1:22" ht="15.75" x14ac:dyDescent="0.25">
      <c r="A20" s="777"/>
      <c r="B20" s="725"/>
      <c r="C20" s="325"/>
      <c r="D20" s="325"/>
      <c r="E20" s="325"/>
      <c r="F20" s="325"/>
      <c r="G20" s="325"/>
      <c r="H20" s="351"/>
      <c r="I20" s="354"/>
      <c r="J20" s="351"/>
      <c r="K20" s="354"/>
      <c r="L20" s="351"/>
      <c r="M20" s="354"/>
      <c r="N20" s="351"/>
      <c r="O20" s="354"/>
      <c r="P20" s="403">
        <f t="shared" si="0"/>
        <v>0</v>
      </c>
      <c r="Q20" s="401">
        <f t="shared" si="0"/>
        <v>0</v>
      </c>
      <c r="R20" s="351"/>
      <c r="S20" s="351"/>
      <c r="T20" s="351"/>
      <c r="U20" s="351"/>
      <c r="V20" s="325"/>
    </row>
    <row r="21" spans="1:22" ht="15.6" customHeight="1" x14ac:dyDescent="0.25">
      <c r="A21" s="300"/>
      <c r="B21" s="242"/>
      <c r="C21" s="300" t="s">
        <v>115</v>
      </c>
      <c r="D21" s="300"/>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x14ac:dyDescent="0.25">
      <c r="C23" s="464"/>
    </row>
    <row r="24" spans="1:22" x14ac:dyDescent="0.25">
      <c r="C24" s="464"/>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E1" zoomScale="70" zoomScaleNormal="70" workbookViewId="0">
      <pane ySplit="6" topLeftCell="A7" activePane="bottomLeft" state="frozen"/>
      <selection activeCell="R7" sqref="R7"/>
      <selection pane="bottomLeft" activeCell="K8" sqref="K8"/>
    </sheetView>
  </sheetViews>
  <sheetFormatPr baseColWidth="10" defaultRowHeight="15" x14ac:dyDescent="0.25"/>
  <cols>
    <col min="1" max="1" width="34" customWidth="1"/>
    <col min="2" max="2" width="35.7109375" customWidth="1"/>
    <col min="3" max="3" width="27.42578125" customWidth="1"/>
    <col min="4" max="4" width="27.42578125" style="464"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786" t="s">
        <v>1344</v>
      </c>
      <c r="B1" s="786"/>
      <c r="C1" s="786"/>
      <c r="D1" s="786"/>
      <c r="E1" s="786"/>
      <c r="F1" s="786"/>
      <c r="G1" s="786"/>
      <c r="H1" s="786"/>
      <c r="I1" s="786"/>
      <c r="J1" s="786"/>
      <c r="K1" s="786"/>
      <c r="L1" s="786"/>
      <c r="M1" s="786"/>
      <c r="N1" s="786"/>
      <c r="O1" s="786"/>
      <c r="P1" s="786"/>
      <c r="Q1" s="786"/>
      <c r="R1" s="786"/>
      <c r="S1" s="786"/>
      <c r="T1" s="786"/>
      <c r="U1" s="786"/>
      <c r="V1" s="513" t="s">
        <v>1684</v>
      </c>
      <c r="W1" s="513" t="s">
        <v>1685</v>
      </c>
      <c r="X1" s="513" t="s">
        <v>1686</v>
      </c>
      <c r="Y1" s="513" t="s">
        <v>1687</v>
      </c>
      <c r="Z1" s="513" t="s">
        <v>1688</v>
      </c>
      <c r="AA1" s="513" t="s">
        <v>1689</v>
      </c>
      <c r="AB1" s="513" t="s">
        <v>1690</v>
      </c>
    </row>
    <row r="2" spans="1:28" x14ac:dyDescent="0.25">
      <c r="A2" s="787" t="s">
        <v>1425</v>
      </c>
      <c r="B2" s="787"/>
      <c r="C2" s="787"/>
      <c r="D2" s="787"/>
      <c r="E2" s="787"/>
      <c r="F2" s="787"/>
      <c r="G2" s="787"/>
      <c r="H2" s="787"/>
      <c r="I2" s="787"/>
      <c r="J2" s="787"/>
      <c r="K2" s="787"/>
      <c r="L2" s="787"/>
      <c r="M2" s="787"/>
      <c r="N2" s="787"/>
      <c r="O2" s="787"/>
      <c r="P2" s="787"/>
      <c r="Q2" s="787"/>
      <c r="R2" s="787"/>
      <c r="S2" s="787"/>
      <c r="T2" s="787"/>
      <c r="U2" s="787"/>
    </row>
    <row r="3" spans="1:28" ht="13.5" customHeight="1" x14ac:dyDescent="0.25">
      <c r="A3" s="312" t="s">
        <v>1426</v>
      </c>
      <c r="B3" s="313"/>
      <c r="C3" s="313"/>
      <c r="D3" s="313"/>
      <c r="E3" s="313"/>
      <c r="F3" s="313"/>
      <c r="G3" s="313"/>
      <c r="H3" s="313"/>
      <c r="I3" s="313"/>
      <c r="J3" s="313"/>
      <c r="K3" s="313"/>
      <c r="L3" s="313"/>
      <c r="M3" s="516" t="s">
        <v>1641</v>
      </c>
      <c r="N3" s="516" t="s">
        <v>1642</v>
      </c>
      <c r="O3" s="516" t="s">
        <v>1643</v>
      </c>
      <c r="P3" s="516" t="s">
        <v>1644</v>
      </c>
      <c r="Q3" s="313"/>
      <c r="R3" s="313"/>
      <c r="S3" s="313"/>
      <c r="T3" s="313"/>
      <c r="U3" s="313"/>
    </row>
    <row r="4" spans="1:28" ht="15" customHeight="1" x14ac:dyDescent="0.25">
      <c r="A4" s="720" t="s">
        <v>96</v>
      </c>
      <c r="B4" s="722" t="s">
        <v>110</v>
      </c>
      <c r="C4" s="732" t="s">
        <v>1530</v>
      </c>
      <c r="D4" s="732" t="s">
        <v>1531</v>
      </c>
      <c r="E4" s="732" t="s">
        <v>86</v>
      </c>
      <c r="F4" s="732" t="s">
        <v>391</v>
      </c>
      <c r="G4" s="732" t="s">
        <v>87</v>
      </c>
      <c r="H4" s="735" t="s">
        <v>99</v>
      </c>
      <c r="I4" s="737"/>
      <c r="J4" s="737"/>
      <c r="K4" s="737"/>
      <c r="L4" s="737"/>
      <c r="M4" s="737"/>
      <c r="N4" s="737"/>
      <c r="O4" s="736"/>
      <c r="P4" s="741" t="s">
        <v>100</v>
      </c>
      <c r="Q4" s="742"/>
      <c r="R4" s="722" t="s">
        <v>102</v>
      </c>
      <c r="S4" s="722" t="s">
        <v>109</v>
      </c>
      <c r="T4" s="722" t="s">
        <v>108</v>
      </c>
      <c r="U4" s="738" t="s">
        <v>88</v>
      </c>
    </row>
    <row r="5" spans="1:28" ht="15" customHeight="1" x14ac:dyDescent="0.25">
      <c r="A5" s="720"/>
      <c r="B5" s="720"/>
      <c r="C5" s="733"/>
      <c r="D5" s="733"/>
      <c r="E5" s="733"/>
      <c r="F5" s="733"/>
      <c r="G5" s="733"/>
      <c r="H5" s="735" t="s">
        <v>103</v>
      </c>
      <c r="I5" s="736"/>
      <c r="J5" s="735" t="s">
        <v>104</v>
      </c>
      <c r="K5" s="736"/>
      <c r="L5" s="735" t="s">
        <v>105</v>
      </c>
      <c r="M5" s="736"/>
      <c r="N5" s="735" t="s">
        <v>106</v>
      </c>
      <c r="O5" s="736"/>
      <c r="P5" s="743"/>
      <c r="Q5" s="744"/>
      <c r="R5" s="720"/>
      <c r="S5" s="720"/>
      <c r="T5" s="720"/>
      <c r="U5" s="739"/>
    </row>
    <row r="6" spans="1:28" ht="25.5" x14ac:dyDescent="0.25">
      <c r="A6" s="721"/>
      <c r="B6" s="721"/>
      <c r="C6" s="734"/>
      <c r="D6" s="734"/>
      <c r="E6" s="734"/>
      <c r="F6" s="734"/>
      <c r="G6" s="734"/>
      <c r="H6" s="440" t="s">
        <v>107</v>
      </c>
      <c r="I6" s="440" t="s">
        <v>12</v>
      </c>
      <c r="J6" s="440" t="s">
        <v>107</v>
      </c>
      <c r="K6" s="440" t="s">
        <v>12</v>
      </c>
      <c r="L6" s="440" t="s">
        <v>107</v>
      </c>
      <c r="M6" s="440" t="s">
        <v>12</v>
      </c>
      <c r="N6" s="440" t="s">
        <v>107</v>
      </c>
      <c r="O6" s="440" t="s">
        <v>12</v>
      </c>
      <c r="P6" s="440" t="s">
        <v>107</v>
      </c>
      <c r="Q6" s="440" t="s">
        <v>12</v>
      </c>
      <c r="R6" s="721"/>
      <c r="S6" s="721"/>
      <c r="T6" s="721"/>
      <c r="U6" s="740"/>
    </row>
    <row r="7" spans="1:28" ht="15.75" x14ac:dyDescent="0.25">
      <c r="A7" s="441"/>
      <c r="B7" s="442"/>
      <c r="C7" s="443"/>
      <c r="D7" s="443"/>
      <c r="E7" s="443"/>
      <c r="F7" s="444"/>
      <c r="G7" s="443"/>
      <c r="H7" s="445"/>
      <c r="I7" s="445"/>
      <c r="J7" s="445"/>
      <c r="K7" s="445"/>
      <c r="L7" s="445"/>
      <c r="M7" s="445"/>
      <c r="N7" s="445"/>
      <c r="O7" s="445"/>
      <c r="P7" s="445"/>
      <c r="Q7" s="445"/>
      <c r="R7" s="446"/>
      <c r="S7" s="446"/>
      <c r="T7" s="446"/>
      <c r="U7" s="447"/>
    </row>
    <row r="8" spans="1:28" ht="173.25" x14ac:dyDescent="0.25">
      <c r="A8" s="726" t="s">
        <v>1510</v>
      </c>
      <c r="B8" s="779" t="s">
        <v>1511</v>
      </c>
      <c r="C8" s="276" t="s">
        <v>1641</v>
      </c>
      <c r="D8" s="780" t="s">
        <v>2429</v>
      </c>
      <c r="E8" s="73" t="s">
        <v>2430</v>
      </c>
      <c r="F8" s="308" t="s">
        <v>2448</v>
      </c>
      <c r="G8" s="568" t="s">
        <v>2452</v>
      </c>
      <c r="H8" s="362"/>
      <c r="I8" s="363"/>
      <c r="J8" s="362">
        <v>0.5</v>
      </c>
      <c r="K8" s="363"/>
      <c r="L8" s="276"/>
      <c r="M8" s="363"/>
      <c r="N8" s="362">
        <v>0.5</v>
      </c>
      <c r="O8" s="363"/>
      <c r="P8" s="400">
        <f t="shared" ref="P8:Q8" si="0">H8+J8+L8+N8</f>
        <v>1</v>
      </c>
      <c r="Q8" s="401">
        <f t="shared" si="0"/>
        <v>0</v>
      </c>
      <c r="R8" s="580" t="s">
        <v>2437</v>
      </c>
      <c r="S8" s="276" t="s">
        <v>2438</v>
      </c>
      <c r="T8" s="276" t="s">
        <v>2439</v>
      </c>
      <c r="U8" s="276" t="s">
        <v>2440</v>
      </c>
    </row>
    <row r="9" spans="1:28" s="464" customFormat="1" ht="126" x14ac:dyDescent="0.25">
      <c r="A9" s="727"/>
      <c r="B9" s="779"/>
      <c r="C9" s="276" t="s">
        <v>1641</v>
      </c>
      <c r="D9" s="781"/>
      <c r="E9" s="73" t="s">
        <v>2435</v>
      </c>
      <c r="F9" s="308" t="s">
        <v>2450</v>
      </c>
      <c r="G9" s="518" t="s">
        <v>2436</v>
      </c>
      <c r="H9" s="362">
        <v>0.33</v>
      </c>
      <c r="I9" s="363"/>
      <c r="J9" s="362">
        <v>0.33</v>
      </c>
      <c r="K9" s="363"/>
      <c r="L9" s="276"/>
      <c r="M9" s="363"/>
      <c r="N9" s="362">
        <v>0.34</v>
      </c>
      <c r="O9" s="363"/>
      <c r="P9" s="400">
        <f t="shared" ref="P9" si="1">H9+J9+L9+N9</f>
        <v>1</v>
      </c>
      <c r="Q9" s="401">
        <f t="shared" ref="Q9" si="2">I9+K9+M9+O9</f>
        <v>0</v>
      </c>
      <c r="R9" s="676" t="s">
        <v>2446</v>
      </c>
      <c r="S9" s="276" t="s">
        <v>2447</v>
      </c>
      <c r="T9" s="276" t="s">
        <v>1919</v>
      </c>
      <c r="U9" s="276" t="s">
        <v>2440</v>
      </c>
    </row>
    <row r="10" spans="1:28" s="365" customFormat="1" ht="126" x14ac:dyDescent="0.25">
      <c r="A10" s="727"/>
      <c r="B10" s="779"/>
      <c r="C10" s="276" t="s">
        <v>1644</v>
      </c>
      <c r="D10" s="781"/>
      <c r="E10" s="73" t="s">
        <v>2431</v>
      </c>
      <c r="F10" s="308" t="s">
        <v>2449</v>
      </c>
      <c r="G10" s="601" t="s">
        <v>2432</v>
      </c>
      <c r="H10" s="362">
        <v>0.16669999999999999</v>
      </c>
      <c r="I10" s="363">
        <f>+H10*'5. ACTIVIDADES ESPECIALES'!D521</f>
        <v>2100.4199999999996</v>
      </c>
      <c r="J10" s="677">
        <v>0.33329999999999999</v>
      </c>
      <c r="K10" s="363">
        <f>+J10*'5. ACTIVIDADES ESPECIALES'!D521</f>
        <v>4199.58</v>
      </c>
      <c r="L10" s="677">
        <v>0.33329999999999999</v>
      </c>
      <c r="M10" s="363">
        <f>+L10*'5. ACTIVIDADES ESPECIALES'!D521</f>
        <v>4199.58</v>
      </c>
      <c r="N10" s="677">
        <v>0.16669999999999999</v>
      </c>
      <c r="O10" s="363">
        <f>+N10*'5. ACTIVIDADES ESPECIALES'!D521</f>
        <v>2100.4199999999996</v>
      </c>
      <c r="P10" s="400">
        <f t="shared" ref="P10:P11" si="3">H10+J10+L10+N10</f>
        <v>0.99999999999999989</v>
      </c>
      <c r="Q10" s="401">
        <f t="shared" ref="Q10:Q11" si="4">I10+K10+M10+O10</f>
        <v>12600</v>
      </c>
      <c r="R10" s="675" t="s">
        <v>2441</v>
      </c>
      <c r="S10" s="276" t="s">
        <v>2442</v>
      </c>
      <c r="T10" s="276" t="s">
        <v>1919</v>
      </c>
      <c r="U10" s="276" t="s">
        <v>2440</v>
      </c>
    </row>
    <row r="11" spans="1:28" s="464" customFormat="1" ht="78.75" x14ac:dyDescent="0.25">
      <c r="A11" s="727"/>
      <c r="B11" s="779"/>
      <c r="C11" s="276" t="s">
        <v>1644</v>
      </c>
      <c r="D11" s="782"/>
      <c r="E11" s="73" t="s">
        <v>2433</v>
      </c>
      <c r="F11" s="308" t="s">
        <v>2451</v>
      </c>
      <c r="G11" s="568" t="s">
        <v>2434</v>
      </c>
      <c r="H11" s="362"/>
      <c r="I11" s="363"/>
      <c r="J11" s="276"/>
      <c r="K11" s="363"/>
      <c r="L11" s="362">
        <v>1</v>
      </c>
      <c r="M11" s="363">
        <f>+'5. ACTIVIDADES ESPECIALES'!D533</f>
        <v>48459.050999999999</v>
      </c>
      <c r="N11" s="276"/>
      <c r="O11" s="363"/>
      <c r="P11" s="400">
        <f t="shared" si="3"/>
        <v>1</v>
      </c>
      <c r="Q11" s="401">
        <f t="shared" si="4"/>
        <v>48459.050999999999</v>
      </c>
      <c r="R11" s="531" t="s">
        <v>2443</v>
      </c>
      <c r="S11" s="276" t="s">
        <v>2444</v>
      </c>
      <c r="T11" s="276" t="s">
        <v>2445</v>
      </c>
      <c r="U11" s="276" t="s">
        <v>2440</v>
      </c>
    </row>
    <row r="12" spans="1:28" ht="15.75" x14ac:dyDescent="0.25">
      <c r="A12" s="727"/>
      <c r="B12" s="778" t="s">
        <v>1512</v>
      </c>
      <c r="C12" s="276"/>
      <c r="D12" s="276"/>
      <c r="E12" s="308"/>
      <c r="F12" s="276"/>
      <c r="G12" s="276"/>
      <c r="H12" s="276"/>
      <c r="I12" s="363"/>
      <c r="J12" s="276"/>
      <c r="K12" s="363"/>
      <c r="L12" s="276"/>
      <c r="M12" s="363"/>
      <c r="N12" s="276"/>
      <c r="O12" s="363"/>
      <c r="P12" s="400">
        <f t="shared" ref="P12:P25" si="5">H12+J12+L12+N12</f>
        <v>0</v>
      </c>
      <c r="Q12" s="401">
        <f t="shared" ref="Q12:Q25" si="6">I12+K12+M12+O12</f>
        <v>0</v>
      </c>
      <c r="R12" s="276"/>
      <c r="S12" s="276"/>
      <c r="T12" s="276"/>
      <c r="U12" s="276"/>
    </row>
    <row r="13" spans="1:28" ht="15.75" x14ac:dyDescent="0.25">
      <c r="A13" s="727"/>
      <c r="B13" s="778"/>
      <c r="C13" s="276"/>
      <c r="D13" s="276"/>
      <c r="E13" s="308"/>
      <c r="F13" s="276"/>
      <c r="G13" s="276"/>
      <c r="H13" s="362"/>
      <c r="I13" s="363"/>
      <c r="J13" s="276"/>
      <c r="K13" s="363"/>
      <c r="L13" s="276"/>
      <c r="M13" s="363"/>
      <c r="N13" s="276"/>
      <c r="O13" s="363"/>
      <c r="P13" s="400">
        <f t="shared" si="5"/>
        <v>0</v>
      </c>
      <c r="Q13" s="401">
        <f t="shared" si="6"/>
        <v>0</v>
      </c>
      <c r="R13" s="276"/>
      <c r="S13" s="276"/>
      <c r="T13" s="276"/>
      <c r="U13" s="276"/>
    </row>
    <row r="14" spans="1:28" s="365" customFormat="1" ht="15.75" x14ac:dyDescent="0.25">
      <c r="A14" s="727"/>
      <c r="B14" s="778"/>
      <c r="C14" s="276"/>
      <c r="D14" s="276"/>
      <c r="E14" s="308"/>
      <c r="F14" s="276"/>
      <c r="G14" s="276"/>
      <c r="H14" s="362"/>
      <c r="I14" s="363"/>
      <c r="J14" s="276"/>
      <c r="K14" s="363"/>
      <c r="L14" s="276"/>
      <c r="M14" s="363"/>
      <c r="N14" s="276"/>
      <c r="O14" s="363"/>
      <c r="P14" s="400">
        <f t="shared" si="5"/>
        <v>0</v>
      </c>
      <c r="Q14" s="401">
        <f t="shared" si="6"/>
        <v>0</v>
      </c>
      <c r="R14" s="276"/>
      <c r="S14" s="276"/>
      <c r="T14" s="276"/>
      <c r="U14" s="276"/>
    </row>
    <row r="15" spans="1:28" s="365" customFormat="1" ht="15.75" x14ac:dyDescent="0.25">
      <c r="A15" s="727"/>
      <c r="B15" s="778"/>
      <c r="C15" s="276"/>
      <c r="D15" s="276"/>
      <c r="E15" s="308"/>
      <c r="F15" s="276"/>
      <c r="G15" s="276"/>
      <c r="H15" s="362"/>
      <c r="I15" s="363"/>
      <c r="J15" s="276"/>
      <c r="K15" s="363"/>
      <c r="L15" s="276"/>
      <c r="M15" s="363"/>
      <c r="N15" s="276"/>
      <c r="O15" s="363"/>
      <c r="P15" s="400">
        <f t="shared" si="5"/>
        <v>0</v>
      </c>
      <c r="Q15" s="401">
        <f t="shared" si="6"/>
        <v>0</v>
      </c>
      <c r="R15" s="276"/>
      <c r="S15" s="276"/>
      <c r="T15" s="276"/>
      <c r="U15" s="276"/>
    </row>
    <row r="16" spans="1:28" s="365" customFormat="1" ht="15.75" x14ac:dyDescent="0.25">
      <c r="A16" s="727"/>
      <c r="B16" s="778"/>
      <c r="C16" s="276"/>
      <c r="D16" s="276"/>
      <c r="E16" s="308"/>
      <c r="F16" s="276"/>
      <c r="G16" s="276"/>
      <c r="H16" s="362"/>
      <c r="I16" s="363"/>
      <c r="J16" s="276"/>
      <c r="K16" s="363"/>
      <c r="L16" s="276"/>
      <c r="M16" s="363"/>
      <c r="N16" s="276"/>
      <c r="O16" s="363"/>
      <c r="P16" s="400">
        <f t="shared" si="5"/>
        <v>0</v>
      </c>
      <c r="Q16" s="401">
        <f t="shared" si="6"/>
        <v>0</v>
      </c>
      <c r="R16" s="276"/>
      <c r="S16" s="276"/>
      <c r="T16" s="276"/>
      <c r="U16" s="276"/>
    </row>
    <row r="17" spans="1:21" s="365" customFormat="1" ht="15.75" x14ac:dyDescent="0.25">
      <c r="A17" s="727"/>
      <c r="B17" s="778"/>
      <c r="C17" s="276"/>
      <c r="D17" s="276"/>
      <c r="E17" s="308"/>
      <c r="F17" s="276"/>
      <c r="G17" s="276"/>
      <c r="H17" s="362"/>
      <c r="I17" s="363"/>
      <c r="J17" s="276"/>
      <c r="K17" s="363"/>
      <c r="L17" s="276"/>
      <c r="M17" s="363"/>
      <c r="N17" s="276"/>
      <c r="O17" s="363"/>
      <c r="P17" s="400">
        <f t="shared" si="5"/>
        <v>0</v>
      </c>
      <c r="Q17" s="401">
        <f t="shared" si="6"/>
        <v>0</v>
      </c>
      <c r="R17" s="276"/>
      <c r="S17" s="276"/>
      <c r="T17" s="276"/>
      <c r="U17" s="276"/>
    </row>
    <row r="18" spans="1:21" s="365" customFormat="1" ht="15.75" x14ac:dyDescent="0.25">
      <c r="A18" s="727"/>
      <c r="B18" s="778"/>
      <c r="C18" s="276"/>
      <c r="D18" s="276"/>
      <c r="E18" s="308"/>
      <c r="F18" s="276"/>
      <c r="G18" s="276"/>
      <c r="H18" s="362"/>
      <c r="I18" s="363"/>
      <c r="J18" s="276"/>
      <c r="K18" s="363"/>
      <c r="L18" s="276"/>
      <c r="M18" s="363"/>
      <c r="N18" s="276"/>
      <c r="O18" s="363"/>
      <c r="P18" s="400">
        <f t="shared" si="5"/>
        <v>0</v>
      </c>
      <c r="Q18" s="401">
        <f t="shared" si="6"/>
        <v>0</v>
      </c>
      <c r="R18" s="276"/>
      <c r="S18" s="276"/>
      <c r="T18" s="276"/>
      <c r="U18" s="276"/>
    </row>
    <row r="19" spans="1:21" ht="15.75" x14ac:dyDescent="0.25">
      <c r="A19" s="727"/>
      <c r="B19" s="778"/>
      <c r="C19" s="276"/>
      <c r="D19" s="276"/>
      <c r="E19" s="308"/>
      <c r="F19" s="276"/>
      <c r="G19" s="276"/>
      <c r="H19" s="276"/>
      <c r="I19" s="363"/>
      <c r="J19" s="276"/>
      <c r="K19" s="363"/>
      <c r="L19" s="276"/>
      <c r="M19" s="363"/>
      <c r="N19" s="276"/>
      <c r="O19" s="363"/>
      <c r="P19" s="400">
        <f t="shared" si="5"/>
        <v>0</v>
      </c>
      <c r="Q19" s="401">
        <f t="shared" si="6"/>
        <v>0</v>
      </c>
      <c r="R19" s="276"/>
      <c r="S19" s="276"/>
      <c r="T19" s="276"/>
      <c r="U19" s="359"/>
    </row>
    <row r="20" spans="1:21" ht="15.75" x14ac:dyDescent="0.25">
      <c r="A20" s="727"/>
      <c r="B20" s="778"/>
      <c r="C20" s="276"/>
      <c r="D20" s="276"/>
      <c r="E20" s="308"/>
      <c r="F20" s="276"/>
      <c r="G20" s="276"/>
      <c r="H20" s="276"/>
      <c r="I20" s="363"/>
      <c r="J20" s="276"/>
      <c r="K20" s="363"/>
      <c r="L20" s="276"/>
      <c r="M20" s="363"/>
      <c r="N20" s="276"/>
      <c r="O20" s="363"/>
      <c r="P20" s="400">
        <f t="shared" si="5"/>
        <v>0</v>
      </c>
      <c r="Q20" s="401">
        <f t="shared" si="6"/>
        <v>0</v>
      </c>
      <c r="R20" s="276"/>
      <c r="S20" s="276"/>
      <c r="T20" s="276"/>
      <c r="U20" s="359"/>
    </row>
    <row r="21" spans="1:21" ht="15.75" x14ac:dyDescent="0.25">
      <c r="A21" s="727"/>
      <c r="B21" s="778"/>
      <c r="C21" s="276"/>
      <c r="D21" s="276"/>
      <c r="E21" s="308"/>
      <c r="F21" s="276"/>
      <c r="G21" s="276"/>
      <c r="H21" s="276"/>
      <c r="I21" s="363"/>
      <c r="J21" s="276"/>
      <c r="K21" s="363"/>
      <c r="L21" s="276"/>
      <c r="M21" s="363"/>
      <c r="N21" s="276"/>
      <c r="O21" s="363"/>
      <c r="P21" s="400">
        <f t="shared" si="5"/>
        <v>0</v>
      </c>
      <c r="Q21" s="401">
        <f t="shared" si="6"/>
        <v>0</v>
      </c>
      <c r="R21" s="276"/>
      <c r="S21" s="276"/>
      <c r="T21" s="276"/>
      <c r="U21" s="359"/>
    </row>
    <row r="22" spans="1:21" ht="15.75" x14ac:dyDescent="0.25">
      <c r="A22" s="727"/>
      <c r="B22" s="778"/>
      <c r="C22" s="276"/>
      <c r="D22" s="276"/>
      <c r="E22" s="308"/>
      <c r="F22" s="276"/>
      <c r="G22" s="276"/>
      <c r="H22" s="276"/>
      <c r="I22" s="363"/>
      <c r="J22" s="276"/>
      <c r="K22" s="363"/>
      <c r="L22" s="276"/>
      <c r="M22" s="363"/>
      <c r="N22" s="276"/>
      <c r="O22" s="363"/>
      <c r="P22" s="400">
        <f t="shared" si="5"/>
        <v>0</v>
      </c>
      <c r="Q22" s="401">
        <f t="shared" si="6"/>
        <v>0</v>
      </c>
      <c r="R22" s="276"/>
      <c r="S22" s="276"/>
      <c r="T22" s="276"/>
      <c r="U22" s="359"/>
    </row>
    <row r="23" spans="1:21" ht="15.75" x14ac:dyDescent="0.25">
      <c r="A23" s="727"/>
      <c r="B23" s="778" t="s">
        <v>1513</v>
      </c>
      <c r="C23" s="276"/>
      <c r="D23" s="276"/>
      <c r="E23" s="308"/>
      <c r="F23" s="276"/>
      <c r="G23" s="276"/>
      <c r="H23" s="276"/>
      <c r="I23" s="363"/>
      <c r="J23" s="276"/>
      <c r="K23" s="363"/>
      <c r="L23" s="276"/>
      <c r="M23" s="363"/>
      <c r="N23" s="276"/>
      <c r="O23" s="363"/>
      <c r="P23" s="400">
        <f t="shared" si="5"/>
        <v>0</v>
      </c>
      <c r="Q23" s="401">
        <f t="shared" si="6"/>
        <v>0</v>
      </c>
      <c r="R23" s="276"/>
      <c r="S23" s="276"/>
      <c r="T23" s="276"/>
      <c r="U23" s="359"/>
    </row>
    <row r="24" spans="1:21" ht="15.75" x14ac:dyDescent="0.25">
      <c r="A24" s="727"/>
      <c r="B24" s="778"/>
      <c r="C24" s="367"/>
      <c r="D24" s="367"/>
      <c r="E24" s="308"/>
      <c r="F24" s="311"/>
      <c r="G24" s="311"/>
      <c r="H24" s="276"/>
      <c r="I24" s="363"/>
      <c r="J24" s="276"/>
      <c r="K24" s="363"/>
      <c r="L24" s="276"/>
      <c r="M24" s="363"/>
      <c r="N24" s="276"/>
      <c r="O24" s="363"/>
      <c r="P24" s="400">
        <f t="shared" si="5"/>
        <v>0</v>
      </c>
      <c r="Q24" s="401">
        <f t="shared" si="6"/>
        <v>0</v>
      </c>
      <c r="R24" s="276"/>
      <c r="S24" s="276"/>
      <c r="T24" s="276"/>
      <c r="U24" s="359"/>
    </row>
    <row r="25" spans="1:21" s="365" customFormat="1" ht="15.75" x14ac:dyDescent="0.25">
      <c r="A25" s="727"/>
      <c r="B25" s="778"/>
      <c r="C25" s="367"/>
      <c r="D25" s="367"/>
      <c r="E25" s="308"/>
      <c r="F25" s="311"/>
      <c r="G25" s="311"/>
      <c r="H25" s="276"/>
      <c r="I25" s="363"/>
      <c r="J25" s="276"/>
      <c r="K25" s="363"/>
      <c r="L25" s="276"/>
      <c r="M25" s="363"/>
      <c r="N25" s="276"/>
      <c r="O25" s="363"/>
      <c r="P25" s="400">
        <f t="shared" si="5"/>
        <v>0</v>
      </c>
      <c r="Q25" s="401">
        <f t="shared" si="6"/>
        <v>0</v>
      </c>
      <c r="R25" s="276"/>
      <c r="S25" s="276"/>
      <c r="T25" s="276"/>
      <c r="U25" s="359"/>
    </row>
    <row r="26" spans="1:21" s="365" customFormat="1" ht="15.75" x14ac:dyDescent="0.25">
      <c r="A26" s="727"/>
      <c r="B26" s="778"/>
      <c r="C26" s="367"/>
      <c r="D26" s="367"/>
      <c r="E26" s="308"/>
      <c r="F26" s="311"/>
      <c r="G26" s="311"/>
      <c r="H26" s="276"/>
      <c r="I26" s="363"/>
      <c r="J26" s="276"/>
      <c r="K26" s="363"/>
      <c r="L26" s="276"/>
      <c r="M26" s="363"/>
      <c r="N26" s="276"/>
      <c r="O26" s="363"/>
      <c r="P26" s="400">
        <f t="shared" ref="P26:P28" si="7">H26+J26+L26+N26</f>
        <v>0</v>
      </c>
      <c r="Q26" s="401">
        <f t="shared" ref="Q26:Q28" si="8">I26+K26+M26+O26</f>
        <v>0</v>
      </c>
      <c r="R26" s="276"/>
      <c r="S26" s="276"/>
      <c r="T26" s="276"/>
      <c r="U26" s="359"/>
    </row>
    <row r="27" spans="1:21" ht="15.75" x14ac:dyDescent="0.25">
      <c r="A27" s="727"/>
      <c r="B27" s="778"/>
      <c r="C27" s="367"/>
      <c r="D27" s="367"/>
      <c r="E27" s="308"/>
      <c r="F27" s="307"/>
      <c r="G27" s="311"/>
      <c r="H27" s="276"/>
      <c r="I27" s="363"/>
      <c r="J27" s="276"/>
      <c r="K27" s="363"/>
      <c r="L27" s="276"/>
      <c r="M27" s="363"/>
      <c r="N27" s="276"/>
      <c r="O27" s="363"/>
      <c r="P27" s="400">
        <f t="shared" si="7"/>
        <v>0</v>
      </c>
      <c r="Q27" s="401">
        <f t="shared" si="8"/>
        <v>0</v>
      </c>
      <c r="R27" s="276"/>
      <c r="S27" s="276"/>
      <c r="T27" s="276"/>
      <c r="U27" s="359"/>
    </row>
    <row r="28" spans="1:21" s="365" customFormat="1" ht="15.75" x14ac:dyDescent="0.25">
      <c r="A28" s="727"/>
      <c r="B28" s="778"/>
      <c r="C28" s="367"/>
      <c r="D28" s="367"/>
      <c r="E28" s="308"/>
      <c r="F28" s="307"/>
      <c r="G28" s="311"/>
      <c r="H28" s="276"/>
      <c r="I28" s="363"/>
      <c r="J28" s="276"/>
      <c r="K28" s="363"/>
      <c r="L28" s="276"/>
      <c r="M28" s="363"/>
      <c r="N28" s="276"/>
      <c r="O28" s="363"/>
      <c r="P28" s="400">
        <f t="shared" si="7"/>
        <v>0</v>
      </c>
      <c r="Q28" s="401">
        <f t="shared" si="8"/>
        <v>0</v>
      </c>
      <c r="R28" s="276"/>
      <c r="S28" s="276"/>
      <c r="T28" s="276"/>
      <c r="U28" s="359"/>
    </row>
    <row r="29" spans="1:21" ht="15.75" x14ac:dyDescent="0.25">
      <c r="A29" s="783" t="s">
        <v>1345</v>
      </c>
      <c r="B29" s="784"/>
      <c r="C29" s="784"/>
      <c r="D29" s="784"/>
      <c r="E29" s="784"/>
      <c r="F29" s="784"/>
      <c r="G29" s="785"/>
      <c r="H29" s="232">
        <f t="shared" ref="H29:Q29" si="9">SUM(H8:H28)</f>
        <v>0.49670000000000003</v>
      </c>
      <c r="I29" s="232">
        <f t="shared" si="9"/>
        <v>2100.4199999999996</v>
      </c>
      <c r="J29" s="232">
        <f t="shared" si="9"/>
        <v>1.1633</v>
      </c>
      <c r="K29" s="232">
        <f t="shared" si="9"/>
        <v>4199.58</v>
      </c>
      <c r="L29" s="232">
        <f t="shared" si="9"/>
        <v>1.3332999999999999</v>
      </c>
      <c r="M29" s="232">
        <f t="shared" si="9"/>
        <v>52658.631000000001</v>
      </c>
      <c r="N29" s="232">
        <f t="shared" si="9"/>
        <v>1.0067000000000002</v>
      </c>
      <c r="O29" s="232">
        <f t="shared" si="9"/>
        <v>2100.4199999999996</v>
      </c>
      <c r="P29" s="232">
        <f t="shared" si="9"/>
        <v>4</v>
      </c>
      <c r="Q29" s="232">
        <f t="shared" si="9"/>
        <v>61059.050999999999</v>
      </c>
      <c r="R29" s="263"/>
      <c r="S29" s="263"/>
      <c r="T29" s="263"/>
      <c r="U29" s="277"/>
    </row>
    <row r="32" spans="1:21" x14ac:dyDescent="0.25">
      <c r="B32" s="464"/>
    </row>
    <row r="33" spans="2:2" x14ac:dyDescent="0.25">
      <c r="B33" s="464"/>
    </row>
    <row r="34" spans="2:2" x14ac:dyDescent="0.25">
      <c r="B34" s="464"/>
    </row>
    <row r="35" spans="2:2" x14ac:dyDescent="0.25">
      <c r="B35" s="464"/>
    </row>
  </sheetData>
  <mergeCells count="25">
    <mergeCell ref="A4:A6"/>
    <mergeCell ref="A8:A28"/>
    <mergeCell ref="B23:B28"/>
    <mergeCell ref="A29:G29"/>
    <mergeCell ref="A1:U1"/>
    <mergeCell ref="A2:U2"/>
    <mergeCell ref="T4:T6"/>
    <mergeCell ref="U4:U6"/>
    <mergeCell ref="H5:I5"/>
    <mergeCell ref="J5:K5"/>
    <mergeCell ref="L5:M5"/>
    <mergeCell ref="N5:O5"/>
    <mergeCell ref="H4:O4"/>
    <mergeCell ref="P4:Q5"/>
    <mergeCell ref="S4:S6"/>
    <mergeCell ref="R4:R6"/>
    <mergeCell ref="B12:B22"/>
    <mergeCell ref="B8:B11"/>
    <mergeCell ref="G4:G6"/>
    <mergeCell ref="B4:B6"/>
    <mergeCell ref="C4:C6"/>
    <mergeCell ref="E4:E6"/>
    <mergeCell ref="F4:F6"/>
    <mergeCell ref="D4:D6"/>
    <mergeCell ref="D8:D11"/>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E12:E28">
      <formula1>$V$1:$AA$1</formula1>
    </dataValidation>
    <dataValidation type="list" allowBlank="1" showInputMessage="1" showErrorMessage="1" sqref="C8:C28">
      <formula1>$M$3:$P$3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D14" sqref="D14"/>
    </sheetView>
  </sheetViews>
  <sheetFormatPr baseColWidth="10" defaultRowHeight="15" x14ac:dyDescent="0.25"/>
  <cols>
    <col min="1" max="1" width="35.7109375" customWidth="1"/>
    <col min="2" max="2" width="35.85546875" customWidth="1"/>
    <col min="3" max="3" width="27.42578125" customWidth="1"/>
    <col min="4" max="4" width="27.42578125" style="464"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3" t="s">
        <v>1645</v>
      </c>
      <c r="C1" s="513" t="s">
        <v>1646</v>
      </c>
      <c r="D1" s="513" t="s">
        <v>1647</v>
      </c>
      <c r="E1" s="513" t="s">
        <v>1648</v>
      </c>
      <c r="F1" s="789" t="s">
        <v>1355</v>
      </c>
      <c r="G1" s="789"/>
      <c r="H1" s="789"/>
      <c r="I1" s="789"/>
      <c r="J1" s="789"/>
      <c r="K1" s="789"/>
      <c r="L1" s="789"/>
      <c r="M1" s="789"/>
      <c r="N1" s="289"/>
      <c r="O1" s="289"/>
      <c r="P1" s="289"/>
      <c r="Q1" s="289"/>
      <c r="R1" s="289"/>
      <c r="S1" s="289"/>
      <c r="T1" s="289"/>
      <c r="U1" s="289"/>
      <c r="V1" s="289"/>
      <c r="W1" s="289"/>
      <c r="X1" s="289"/>
      <c r="Y1" s="289"/>
      <c r="Z1" s="289"/>
      <c r="AA1" s="289"/>
      <c r="AB1" s="289"/>
    </row>
    <row r="2" spans="1:28" ht="18.75" x14ac:dyDescent="0.25">
      <c r="A2" s="317" t="s">
        <v>1354</v>
      </c>
      <c r="H2" s="289"/>
      <c r="J2" s="289"/>
      <c r="K2" s="289"/>
      <c r="L2" s="289"/>
      <c r="M2" s="289"/>
      <c r="N2" s="289"/>
      <c r="O2" s="289"/>
      <c r="P2" s="289"/>
      <c r="Q2" s="289"/>
      <c r="R2" s="289"/>
      <c r="S2" s="289"/>
      <c r="T2" s="289"/>
      <c r="U2" s="289"/>
      <c r="V2" s="289"/>
      <c r="W2" s="289"/>
      <c r="X2" s="289"/>
      <c r="Y2" s="289"/>
      <c r="Z2" s="289"/>
      <c r="AA2" s="289"/>
      <c r="AB2" s="289"/>
    </row>
    <row r="3" spans="1:28" s="365" customFormat="1" ht="18.75" x14ac:dyDescent="0.25">
      <c r="A3" s="317" t="s">
        <v>1427</v>
      </c>
      <c r="D3" s="464"/>
      <c r="H3" s="289"/>
      <c r="I3" s="233"/>
      <c r="J3" s="289"/>
      <c r="K3" s="289"/>
      <c r="L3" s="289"/>
      <c r="M3" s="289"/>
      <c r="N3" s="289"/>
      <c r="O3" s="289"/>
      <c r="P3" s="289"/>
      <c r="Q3" s="289"/>
      <c r="R3" s="289"/>
      <c r="S3" s="289"/>
      <c r="T3" s="289"/>
      <c r="U3" s="289"/>
      <c r="V3" s="289"/>
      <c r="W3" s="289"/>
      <c r="X3" s="289"/>
      <c r="Y3" s="289"/>
      <c r="Z3" s="289"/>
      <c r="AA3" s="289"/>
      <c r="AB3" s="289"/>
    </row>
    <row r="4" spans="1:28" s="365" customFormat="1" ht="18.75" x14ac:dyDescent="0.25">
      <c r="A4" s="317" t="s">
        <v>1428</v>
      </c>
      <c r="D4" s="464"/>
      <c r="H4" s="289"/>
      <c r="I4" s="233"/>
      <c r="J4" s="289"/>
      <c r="K4" s="289"/>
      <c r="L4" s="289"/>
      <c r="M4" s="289"/>
      <c r="N4" s="289"/>
      <c r="O4" s="289"/>
      <c r="P4" s="289"/>
      <c r="Q4" s="289"/>
      <c r="R4" s="289"/>
      <c r="S4" s="289"/>
      <c r="T4" s="289"/>
      <c r="U4" s="289"/>
      <c r="V4" s="289"/>
      <c r="W4" s="289"/>
      <c r="X4" s="289"/>
      <c r="Y4" s="289"/>
      <c r="Z4" s="289"/>
      <c r="AA4" s="289"/>
      <c r="AB4" s="289"/>
    </row>
    <row r="5" spans="1:28" ht="18.75" customHeight="1" x14ac:dyDescent="0.25">
      <c r="A5" s="774" t="s">
        <v>1429</v>
      </c>
      <c r="B5" s="790"/>
      <c r="C5" s="790"/>
      <c r="D5" s="790"/>
      <c r="E5" s="790"/>
      <c r="F5" s="790"/>
      <c r="G5" s="790"/>
      <c r="H5" s="790"/>
      <c r="I5" s="790"/>
      <c r="J5" s="790"/>
      <c r="K5" s="790"/>
      <c r="L5" s="790"/>
      <c r="M5" s="790"/>
      <c r="N5" s="790"/>
      <c r="O5" s="790"/>
      <c r="P5" s="790"/>
      <c r="Q5" s="790"/>
      <c r="R5" s="790"/>
      <c r="S5" s="790"/>
      <c r="T5" s="790"/>
      <c r="U5" s="790"/>
      <c r="V5" s="790"/>
    </row>
    <row r="6" spans="1:28" ht="15" customHeight="1" x14ac:dyDescent="0.25">
      <c r="A6" s="720" t="s">
        <v>96</v>
      </c>
      <c r="B6" s="722" t="s">
        <v>110</v>
      </c>
      <c r="C6" s="732" t="s">
        <v>1530</v>
      </c>
      <c r="D6" s="732" t="s">
        <v>1531</v>
      </c>
      <c r="E6" s="732" t="s">
        <v>86</v>
      </c>
      <c r="F6" s="732" t="s">
        <v>391</v>
      </c>
      <c r="G6" s="732" t="s">
        <v>87</v>
      </c>
      <c r="H6" s="735" t="s">
        <v>99</v>
      </c>
      <c r="I6" s="737"/>
      <c r="J6" s="737"/>
      <c r="K6" s="737"/>
      <c r="L6" s="737"/>
      <c r="M6" s="737"/>
      <c r="N6" s="737"/>
      <c r="O6" s="736"/>
      <c r="P6" s="741" t="s">
        <v>100</v>
      </c>
      <c r="Q6" s="742"/>
      <c r="R6" s="722" t="s">
        <v>101</v>
      </c>
      <c r="S6" s="722" t="s">
        <v>102</v>
      </c>
      <c r="T6" s="722" t="s">
        <v>109</v>
      </c>
      <c r="U6" s="722" t="s">
        <v>108</v>
      </c>
      <c r="V6" s="738" t="s">
        <v>88</v>
      </c>
    </row>
    <row r="7" spans="1:28" ht="15" customHeight="1" x14ac:dyDescent="0.25">
      <c r="A7" s="720"/>
      <c r="B7" s="720"/>
      <c r="C7" s="733"/>
      <c r="D7" s="733"/>
      <c r="E7" s="733"/>
      <c r="F7" s="733"/>
      <c r="G7" s="733"/>
      <c r="H7" s="735" t="s">
        <v>103</v>
      </c>
      <c r="I7" s="736"/>
      <c r="J7" s="735" t="s">
        <v>104</v>
      </c>
      <c r="K7" s="736"/>
      <c r="L7" s="735" t="s">
        <v>105</v>
      </c>
      <c r="M7" s="736"/>
      <c r="N7" s="735" t="s">
        <v>106</v>
      </c>
      <c r="O7" s="736"/>
      <c r="P7" s="743"/>
      <c r="Q7" s="744"/>
      <c r="R7" s="720"/>
      <c r="S7" s="720"/>
      <c r="T7" s="720"/>
      <c r="U7" s="720"/>
      <c r="V7" s="739"/>
    </row>
    <row r="8" spans="1:28" ht="25.5" x14ac:dyDescent="0.25">
      <c r="A8" s="721"/>
      <c r="B8" s="721"/>
      <c r="C8" s="734"/>
      <c r="D8" s="734"/>
      <c r="E8" s="734"/>
      <c r="F8" s="734"/>
      <c r="G8" s="734"/>
      <c r="H8" s="440" t="s">
        <v>107</v>
      </c>
      <c r="I8" s="440" t="s">
        <v>12</v>
      </c>
      <c r="J8" s="440" t="s">
        <v>107</v>
      </c>
      <c r="K8" s="440" t="s">
        <v>12</v>
      </c>
      <c r="L8" s="440" t="s">
        <v>107</v>
      </c>
      <c r="M8" s="440" t="s">
        <v>12</v>
      </c>
      <c r="N8" s="440" t="s">
        <v>107</v>
      </c>
      <c r="O8" s="440" t="s">
        <v>12</v>
      </c>
      <c r="P8" s="440" t="s">
        <v>107</v>
      </c>
      <c r="Q8" s="440" t="s">
        <v>12</v>
      </c>
      <c r="R8" s="721"/>
      <c r="S8" s="721"/>
      <c r="T8" s="721"/>
      <c r="U8" s="721"/>
      <c r="V8" s="740"/>
    </row>
    <row r="9" spans="1:28" s="365" customFormat="1" ht="15.75" x14ac:dyDescent="0.25">
      <c r="A9" s="441"/>
      <c r="B9" s="442"/>
      <c r="C9" s="443"/>
      <c r="D9" s="443"/>
      <c r="E9" s="443"/>
      <c r="F9" s="444"/>
      <c r="G9" s="443"/>
      <c r="H9" s="445"/>
      <c r="I9" s="445"/>
      <c r="J9" s="445"/>
      <c r="K9" s="445"/>
      <c r="L9" s="445"/>
      <c r="M9" s="445"/>
      <c r="N9" s="445"/>
      <c r="O9" s="445"/>
      <c r="P9" s="445"/>
      <c r="Q9" s="445"/>
      <c r="R9" s="446"/>
      <c r="S9" s="446"/>
      <c r="T9" s="446"/>
      <c r="U9" s="446"/>
      <c r="V9" s="447"/>
    </row>
    <row r="10" spans="1:28" ht="15.75" x14ac:dyDescent="0.25">
      <c r="A10" s="788" t="s">
        <v>1431</v>
      </c>
      <c r="B10" s="788" t="s">
        <v>1430</v>
      </c>
      <c r="C10" s="325"/>
      <c r="D10" s="325"/>
      <c r="E10" s="325"/>
      <c r="F10" s="325"/>
      <c r="G10" s="325"/>
      <c r="H10" s="355"/>
      <c r="I10" s="356"/>
      <c r="J10" s="355"/>
      <c r="K10" s="356"/>
      <c r="L10" s="355"/>
      <c r="M10" s="356"/>
      <c r="N10" s="355"/>
      <c r="O10" s="356"/>
      <c r="P10" s="403">
        <f t="shared" ref="P10:Q10" si="0">H10+J10+L10+N10</f>
        <v>0</v>
      </c>
      <c r="Q10" s="401">
        <f t="shared" si="0"/>
        <v>0</v>
      </c>
      <c r="R10" s="325"/>
      <c r="S10" s="325"/>
      <c r="T10" s="325"/>
      <c r="U10" s="325"/>
      <c r="V10" s="325"/>
    </row>
    <row r="11" spans="1:28" s="365" customFormat="1" ht="15.75" x14ac:dyDescent="0.25">
      <c r="A11" s="788"/>
      <c r="B11" s="788"/>
      <c r="C11" s="325"/>
      <c r="D11" s="325"/>
      <c r="E11" s="325"/>
      <c r="F11" s="325"/>
      <c r="G11" s="325"/>
      <c r="H11" s="355"/>
      <c r="I11" s="356"/>
      <c r="J11" s="355"/>
      <c r="K11" s="356"/>
      <c r="L11" s="355"/>
      <c r="M11" s="356"/>
      <c r="N11" s="355"/>
      <c r="O11" s="356"/>
      <c r="P11" s="403">
        <f t="shared" ref="P11:P28" si="1">H11+J11+L11+N11</f>
        <v>0</v>
      </c>
      <c r="Q11" s="401">
        <f t="shared" ref="Q11:Q28" si="2">I11+K11+M11+O11</f>
        <v>0</v>
      </c>
      <c r="R11" s="325"/>
      <c r="S11" s="325"/>
      <c r="T11" s="325"/>
      <c r="U11" s="325"/>
      <c r="V11" s="325"/>
    </row>
    <row r="12" spans="1:28" s="365" customFormat="1" ht="15.75" x14ac:dyDescent="0.25">
      <c r="A12" s="788"/>
      <c r="B12" s="788"/>
      <c r="C12" s="325"/>
      <c r="D12" s="325"/>
      <c r="E12" s="325"/>
      <c r="F12" s="325"/>
      <c r="G12" s="325"/>
      <c r="H12" s="355"/>
      <c r="I12" s="356"/>
      <c r="J12" s="355"/>
      <c r="K12" s="356"/>
      <c r="L12" s="355"/>
      <c r="M12" s="356"/>
      <c r="N12" s="355"/>
      <c r="O12" s="356"/>
      <c r="P12" s="403">
        <f t="shared" si="1"/>
        <v>0</v>
      </c>
      <c r="Q12" s="401">
        <f t="shared" si="2"/>
        <v>0</v>
      </c>
      <c r="R12" s="325"/>
      <c r="S12" s="325"/>
      <c r="T12" s="325"/>
      <c r="U12" s="325"/>
      <c r="V12" s="325"/>
    </row>
    <row r="13" spans="1:28" s="365" customFormat="1" ht="15.75" x14ac:dyDescent="0.25">
      <c r="A13" s="788"/>
      <c r="B13" s="788"/>
      <c r="C13" s="325"/>
      <c r="D13" s="325"/>
      <c r="E13" s="325"/>
      <c r="F13" s="325"/>
      <c r="G13" s="325"/>
      <c r="H13" s="355"/>
      <c r="I13" s="356"/>
      <c r="J13" s="355"/>
      <c r="K13" s="356"/>
      <c r="L13" s="355"/>
      <c r="M13" s="356"/>
      <c r="N13" s="355"/>
      <c r="O13" s="356"/>
      <c r="P13" s="403">
        <f t="shared" si="1"/>
        <v>0</v>
      </c>
      <c r="Q13" s="401">
        <f t="shared" si="2"/>
        <v>0</v>
      </c>
      <c r="R13" s="325"/>
      <c r="S13" s="325"/>
      <c r="T13" s="325"/>
      <c r="U13" s="325"/>
      <c r="V13" s="325"/>
    </row>
    <row r="14" spans="1:28" s="365" customFormat="1" ht="15.75" x14ac:dyDescent="0.25">
      <c r="A14" s="788"/>
      <c r="B14" s="788"/>
      <c r="C14" s="325"/>
      <c r="D14" s="325"/>
      <c r="E14" s="325"/>
      <c r="F14" s="325"/>
      <c r="G14" s="325"/>
      <c r="H14" s="355"/>
      <c r="I14" s="356"/>
      <c r="J14" s="355"/>
      <c r="K14" s="356"/>
      <c r="L14" s="355"/>
      <c r="M14" s="356"/>
      <c r="N14" s="355"/>
      <c r="O14" s="356"/>
      <c r="P14" s="403">
        <f t="shared" si="1"/>
        <v>0</v>
      </c>
      <c r="Q14" s="401">
        <f t="shared" si="2"/>
        <v>0</v>
      </c>
      <c r="R14" s="325"/>
      <c r="S14" s="325"/>
      <c r="T14" s="325"/>
      <c r="U14" s="325"/>
      <c r="V14" s="325"/>
    </row>
    <row r="15" spans="1:28" s="365" customFormat="1" ht="15.75" x14ac:dyDescent="0.25">
      <c r="A15" s="788"/>
      <c r="B15" s="788"/>
      <c r="C15" s="325"/>
      <c r="D15" s="325"/>
      <c r="E15" s="325"/>
      <c r="F15" s="325"/>
      <c r="G15" s="325"/>
      <c r="H15" s="355"/>
      <c r="I15" s="356"/>
      <c r="J15" s="355"/>
      <c r="K15" s="356"/>
      <c r="L15" s="355"/>
      <c r="M15" s="356"/>
      <c r="N15" s="355"/>
      <c r="O15" s="356"/>
      <c r="P15" s="403">
        <f t="shared" si="1"/>
        <v>0</v>
      </c>
      <c r="Q15" s="401">
        <f t="shared" si="2"/>
        <v>0</v>
      </c>
      <c r="R15" s="325"/>
      <c r="S15" s="325"/>
      <c r="T15" s="325"/>
      <c r="U15" s="325"/>
      <c r="V15" s="325"/>
    </row>
    <row r="16" spans="1:28" ht="15.75" x14ac:dyDescent="0.25">
      <c r="A16" s="788"/>
      <c r="B16" s="788"/>
      <c r="C16" s="325"/>
      <c r="D16" s="325"/>
      <c r="E16" s="325"/>
      <c r="F16" s="325"/>
      <c r="G16" s="325"/>
      <c r="H16" s="355"/>
      <c r="I16" s="356"/>
      <c r="J16" s="355"/>
      <c r="K16" s="356"/>
      <c r="L16" s="355"/>
      <c r="M16" s="356"/>
      <c r="N16" s="355"/>
      <c r="O16" s="356"/>
      <c r="P16" s="403">
        <f t="shared" si="1"/>
        <v>0</v>
      </c>
      <c r="Q16" s="401">
        <f t="shared" si="2"/>
        <v>0</v>
      </c>
      <c r="R16" s="325"/>
      <c r="S16" s="325"/>
      <c r="T16" s="325"/>
      <c r="U16" s="325"/>
      <c r="V16" s="325"/>
    </row>
    <row r="17" spans="1:22" s="365" customFormat="1" ht="15.75" x14ac:dyDescent="0.25">
      <c r="A17" s="723" t="s">
        <v>1433</v>
      </c>
      <c r="B17" s="723" t="s">
        <v>116</v>
      </c>
      <c r="C17" s="325"/>
      <c r="D17" s="325"/>
      <c r="E17" s="325"/>
      <c r="F17" s="325"/>
      <c r="G17" s="325"/>
      <c r="H17" s="355"/>
      <c r="I17" s="356"/>
      <c r="J17" s="355"/>
      <c r="K17" s="356"/>
      <c r="L17" s="355"/>
      <c r="M17" s="356"/>
      <c r="N17" s="355"/>
      <c r="O17" s="356"/>
      <c r="P17" s="403">
        <f t="shared" si="1"/>
        <v>0</v>
      </c>
      <c r="Q17" s="401">
        <f t="shared" si="2"/>
        <v>0</v>
      </c>
      <c r="R17" s="325"/>
      <c r="S17" s="325"/>
      <c r="T17" s="325"/>
      <c r="U17" s="325"/>
      <c r="V17" s="325"/>
    </row>
    <row r="18" spans="1:22" s="365" customFormat="1" ht="15.75" x14ac:dyDescent="0.25">
      <c r="A18" s="724"/>
      <c r="B18" s="724"/>
      <c r="C18" s="325"/>
      <c r="D18" s="325"/>
      <c r="E18" s="325"/>
      <c r="F18" s="325"/>
      <c r="G18" s="325"/>
      <c r="H18" s="355"/>
      <c r="I18" s="356"/>
      <c r="J18" s="355"/>
      <c r="K18" s="356"/>
      <c r="L18" s="355"/>
      <c r="M18" s="356"/>
      <c r="N18" s="355"/>
      <c r="O18" s="356"/>
      <c r="P18" s="403">
        <f t="shared" si="1"/>
        <v>0</v>
      </c>
      <c r="Q18" s="401">
        <f t="shared" si="2"/>
        <v>0</v>
      </c>
      <c r="R18" s="325"/>
      <c r="S18" s="325"/>
      <c r="T18" s="325"/>
      <c r="U18" s="325"/>
      <c r="V18" s="325"/>
    </row>
    <row r="19" spans="1:22" s="365" customFormat="1" ht="15.75" x14ac:dyDescent="0.25">
      <c r="A19" s="724"/>
      <c r="B19" s="724"/>
      <c r="C19" s="325"/>
      <c r="D19" s="325"/>
      <c r="E19" s="325"/>
      <c r="F19" s="325"/>
      <c r="G19" s="325"/>
      <c r="H19" s="355"/>
      <c r="I19" s="356"/>
      <c r="J19" s="355"/>
      <c r="K19" s="356"/>
      <c r="L19" s="355"/>
      <c r="M19" s="356"/>
      <c r="N19" s="355"/>
      <c r="O19" s="356"/>
      <c r="P19" s="403">
        <f t="shared" si="1"/>
        <v>0</v>
      </c>
      <c r="Q19" s="401">
        <f t="shared" si="2"/>
        <v>0</v>
      </c>
      <c r="R19" s="325"/>
      <c r="S19" s="325"/>
      <c r="T19" s="325"/>
      <c r="U19" s="325"/>
      <c r="V19" s="325"/>
    </row>
    <row r="20" spans="1:22" s="365" customFormat="1" ht="15.75" x14ac:dyDescent="0.25">
      <c r="A20" s="724"/>
      <c r="B20" s="724"/>
      <c r="C20" s="325"/>
      <c r="D20" s="325"/>
      <c r="E20" s="325"/>
      <c r="F20" s="325"/>
      <c r="G20" s="325"/>
      <c r="H20" s="355"/>
      <c r="I20" s="356"/>
      <c r="J20" s="355"/>
      <c r="K20" s="356"/>
      <c r="L20" s="355"/>
      <c r="M20" s="356"/>
      <c r="N20" s="355"/>
      <c r="O20" s="356"/>
      <c r="P20" s="403">
        <f t="shared" si="1"/>
        <v>0</v>
      </c>
      <c r="Q20" s="401">
        <f t="shared" si="2"/>
        <v>0</v>
      </c>
      <c r="R20" s="325"/>
      <c r="S20" s="325"/>
      <c r="T20" s="325"/>
      <c r="U20" s="325"/>
      <c r="V20" s="325"/>
    </row>
    <row r="21" spans="1:22" s="365" customFormat="1" ht="15.75" x14ac:dyDescent="0.25">
      <c r="A21" s="724"/>
      <c r="B21" s="724"/>
      <c r="C21" s="325"/>
      <c r="D21" s="325"/>
      <c r="E21" s="325"/>
      <c r="F21" s="325"/>
      <c r="G21" s="325"/>
      <c r="H21" s="355"/>
      <c r="I21" s="356"/>
      <c r="J21" s="355"/>
      <c r="K21" s="356"/>
      <c r="L21" s="355"/>
      <c r="M21" s="356"/>
      <c r="N21" s="355"/>
      <c r="O21" s="356"/>
      <c r="P21" s="403">
        <f t="shared" si="1"/>
        <v>0</v>
      </c>
      <c r="Q21" s="401">
        <f t="shared" si="2"/>
        <v>0</v>
      </c>
      <c r="R21" s="325"/>
      <c r="S21" s="325"/>
      <c r="T21" s="325"/>
      <c r="U21" s="325"/>
      <c r="V21" s="325"/>
    </row>
    <row r="22" spans="1:22" s="365" customFormat="1" ht="15.75" x14ac:dyDescent="0.25">
      <c r="A22" s="725"/>
      <c r="B22" s="725"/>
      <c r="C22" s="325"/>
      <c r="D22" s="325"/>
      <c r="E22" s="325"/>
      <c r="F22" s="325"/>
      <c r="G22" s="325"/>
      <c r="H22" s="355"/>
      <c r="I22" s="356"/>
      <c r="J22" s="355"/>
      <c r="K22" s="356"/>
      <c r="L22" s="355"/>
      <c r="M22" s="356"/>
      <c r="N22" s="355"/>
      <c r="O22" s="356"/>
      <c r="P22" s="403">
        <f t="shared" si="1"/>
        <v>0</v>
      </c>
      <c r="Q22" s="401">
        <f t="shared" si="2"/>
        <v>0</v>
      </c>
      <c r="R22" s="325"/>
      <c r="S22" s="325"/>
      <c r="T22" s="325"/>
      <c r="U22" s="325"/>
      <c r="V22" s="325"/>
    </row>
    <row r="23" spans="1:22" s="365" customFormat="1" ht="15.75" x14ac:dyDescent="0.25">
      <c r="A23" s="788" t="s">
        <v>1434</v>
      </c>
      <c r="B23" s="723"/>
      <c r="C23" s="325"/>
      <c r="D23" s="325"/>
      <c r="E23" s="325"/>
      <c r="F23" s="325"/>
      <c r="G23" s="325"/>
      <c r="H23" s="355"/>
      <c r="I23" s="356"/>
      <c r="J23" s="355"/>
      <c r="K23" s="356"/>
      <c r="L23" s="355"/>
      <c r="M23" s="356"/>
      <c r="N23" s="355"/>
      <c r="O23" s="356"/>
      <c r="P23" s="403">
        <f t="shared" si="1"/>
        <v>0</v>
      </c>
      <c r="Q23" s="401">
        <f t="shared" si="2"/>
        <v>0</v>
      </c>
      <c r="R23" s="325"/>
      <c r="S23" s="325"/>
      <c r="T23" s="325"/>
      <c r="U23" s="325"/>
      <c r="V23" s="325"/>
    </row>
    <row r="24" spans="1:22" s="365" customFormat="1" ht="15.75" x14ac:dyDescent="0.25">
      <c r="A24" s="788"/>
      <c r="B24" s="724"/>
      <c r="C24" s="325"/>
      <c r="D24" s="325"/>
      <c r="E24" s="325"/>
      <c r="F24" s="325"/>
      <c r="G24" s="325"/>
      <c r="H24" s="355"/>
      <c r="I24" s="356"/>
      <c r="J24" s="355"/>
      <c r="K24" s="356"/>
      <c r="L24" s="355"/>
      <c r="M24" s="356"/>
      <c r="N24" s="355"/>
      <c r="O24" s="356"/>
      <c r="P24" s="403">
        <f t="shared" si="1"/>
        <v>0</v>
      </c>
      <c r="Q24" s="401">
        <f t="shared" si="2"/>
        <v>0</v>
      </c>
      <c r="R24" s="325"/>
      <c r="S24" s="325"/>
      <c r="T24" s="325"/>
      <c r="U24" s="325"/>
      <c r="V24" s="325"/>
    </row>
    <row r="25" spans="1:22" s="365" customFormat="1" ht="15.75" x14ac:dyDescent="0.25">
      <c r="A25" s="788"/>
      <c r="B25" s="724"/>
      <c r="C25" s="325"/>
      <c r="D25" s="325"/>
      <c r="E25" s="325"/>
      <c r="F25" s="325"/>
      <c r="G25" s="325"/>
      <c r="H25" s="355"/>
      <c r="I25" s="356"/>
      <c r="J25" s="355"/>
      <c r="K25" s="356"/>
      <c r="L25" s="355"/>
      <c r="M25" s="356"/>
      <c r="N25" s="355"/>
      <c r="O25" s="356"/>
      <c r="P25" s="403">
        <f t="shared" si="1"/>
        <v>0</v>
      </c>
      <c r="Q25" s="401">
        <f t="shared" si="2"/>
        <v>0</v>
      </c>
      <c r="R25" s="325"/>
      <c r="S25" s="325"/>
      <c r="T25" s="325"/>
      <c r="U25" s="325"/>
      <c r="V25" s="325"/>
    </row>
    <row r="26" spans="1:22" s="365" customFormat="1" ht="15.75" x14ac:dyDescent="0.25">
      <c r="A26" s="788"/>
      <c r="B26" s="724"/>
      <c r="C26" s="325"/>
      <c r="D26" s="325"/>
      <c r="E26" s="325"/>
      <c r="F26" s="325"/>
      <c r="G26" s="325"/>
      <c r="H26" s="355"/>
      <c r="I26" s="356"/>
      <c r="J26" s="355"/>
      <c r="K26" s="356"/>
      <c r="L26" s="355"/>
      <c r="M26" s="356"/>
      <c r="N26" s="355"/>
      <c r="O26" s="356"/>
      <c r="P26" s="403">
        <f t="shared" si="1"/>
        <v>0</v>
      </c>
      <c r="Q26" s="401">
        <f t="shared" si="2"/>
        <v>0</v>
      </c>
      <c r="R26" s="325"/>
      <c r="S26" s="325"/>
      <c r="T26" s="325"/>
      <c r="U26" s="325"/>
      <c r="V26" s="325"/>
    </row>
    <row r="27" spans="1:22" s="365" customFormat="1" ht="15.75" x14ac:dyDescent="0.25">
      <c r="A27" s="788"/>
      <c r="B27" s="724"/>
      <c r="C27" s="325"/>
      <c r="D27" s="325"/>
      <c r="E27" s="325"/>
      <c r="F27" s="325"/>
      <c r="G27" s="325"/>
      <c r="H27" s="355"/>
      <c r="I27" s="356"/>
      <c r="J27" s="355"/>
      <c r="K27" s="356"/>
      <c r="L27" s="355"/>
      <c r="M27" s="356"/>
      <c r="N27" s="355"/>
      <c r="O27" s="356"/>
      <c r="P27" s="403">
        <f t="shared" si="1"/>
        <v>0</v>
      </c>
      <c r="Q27" s="401">
        <f t="shared" si="2"/>
        <v>0</v>
      </c>
      <c r="R27" s="325"/>
      <c r="S27" s="325"/>
      <c r="T27" s="325"/>
      <c r="U27" s="325"/>
      <c r="V27" s="325"/>
    </row>
    <row r="28" spans="1:22" ht="15.75" x14ac:dyDescent="0.25">
      <c r="A28" s="788"/>
      <c r="B28" s="725"/>
      <c r="C28" s="325"/>
      <c r="D28" s="325"/>
      <c r="E28" s="325"/>
      <c r="F28" s="325"/>
      <c r="G28" s="325"/>
      <c r="H28" s="325"/>
      <c r="I28" s="356"/>
      <c r="J28" s="325"/>
      <c r="K28" s="356"/>
      <c r="L28" s="325"/>
      <c r="M28" s="356"/>
      <c r="N28" s="325"/>
      <c r="O28" s="356"/>
      <c r="P28" s="403">
        <f t="shared" si="1"/>
        <v>0</v>
      </c>
      <c r="Q28" s="401">
        <f t="shared" si="2"/>
        <v>0</v>
      </c>
      <c r="R28" s="325"/>
      <c r="S28" s="71"/>
      <c r="T28" s="325"/>
      <c r="U28" s="325"/>
      <c r="V28" s="325"/>
    </row>
    <row r="29" spans="1:22" ht="15.75" x14ac:dyDescent="0.25">
      <c r="A29" s="294"/>
      <c r="B29" s="295"/>
      <c r="C29" s="295"/>
      <c r="D29" s="295"/>
      <c r="E29" s="294" t="s">
        <v>1432</v>
      </c>
      <c r="F29" s="295"/>
      <c r="G29" s="296"/>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x14ac:dyDescent="0.25">
      <c r="C32" s="464"/>
    </row>
    <row r="33" spans="3:3" x14ac:dyDescent="0.25">
      <c r="C33" s="464"/>
    </row>
    <row r="34" spans="3:3" x14ac:dyDescent="0.25">
      <c r="C34" s="464"/>
    </row>
    <row r="35" spans="3:3" x14ac:dyDescent="0.25">
      <c r="C35" s="464"/>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x14ac:dyDescent="0.25"/>
  <cols>
    <col min="1" max="1" width="35.7109375" style="365" customWidth="1"/>
    <col min="2" max="2" width="35.85546875" style="365" customWidth="1"/>
    <col min="3" max="3" width="27.42578125" style="365" customWidth="1"/>
    <col min="4" max="4" width="27.42578125" style="464" customWidth="1"/>
    <col min="5" max="7" width="27.42578125" style="365" customWidth="1"/>
    <col min="8" max="8" width="15.28515625" style="365" customWidth="1"/>
    <col min="9" max="9" width="11.42578125" style="233"/>
    <col min="10" max="10" width="15.28515625" style="365" customWidth="1"/>
    <col min="11" max="11" width="18.85546875" style="233" customWidth="1"/>
    <col min="12" max="12" width="11.42578125" style="365"/>
    <col min="13" max="13" width="11.42578125" style="233"/>
    <col min="14" max="14" width="11.42578125" style="365"/>
    <col min="15" max="15" width="11.42578125" style="233"/>
    <col min="16" max="16" width="15.28515625" style="365" customWidth="1"/>
    <col min="17" max="17" width="18.28515625" style="233" customWidth="1"/>
    <col min="18" max="20" width="14.140625" style="365" customWidth="1"/>
    <col min="21" max="21" width="17" style="365" customWidth="1"/>
    <col min="22" max="16384" width="11.42578125" style="365"/>
  </cols>
  <sheetData>
    <row r="1" spans="1:42" ht="24.75" customHeight="1" x14ac:dyDescent="0.25">
      <c r="A1" s="409"/>
      <c r="B1" s="409"/>
      <c r="C1" s="409"/>
      <c r="D1" s="409"/>
      <c r="E1" s="409"/>
      <c r="F1" s="791" t="s">
        <v>1472</v>
      </c>
      <c r="G1" s="791"/>
      <c r="H1" s="791"/>
      <c r="I1" s="791"/>
      <c r="J1" s="791"/>
      <c r="K1" s="791"/>
      <c r="L1" s="791"/>
      <c r="M1" s="791"/>
      <c r="N1" s="410"/>
      <c r="O1" s="464" t="s">
        <v>1649</v>
      </c>
      <c r="P1" s="464" t="s">
        <v>1650</v>
      </c>
      <c r="Q1" s="464" t="s">
        <v>1651</v>
      </c>
      <c r="R1" s="464" t="s">
        <v>1652</v>
      </c>
      <c r="S1" s="464" t="s">
        <v>1653</v>
      </c>
      <c r="T1" s="464" t="s">
        <v>1654</v>
      </c>
      <c r="U1" s="464" t="s">
        <v>1655</v>
      </c>
      <c r="V1" s="464" t="s">
        <v>1656</v>
      </c>
      <c r="W1" s="464" t="s">
        <v>1657</v>
      </c>
      <c r="X1" s="464" t="s">
        <v>1658</v>
      </c>
      <c r="Y1" s="464" t="s">
        <v>1659</v>
      </c>
      <c r="Z1" s="464" t="s">
        <v>1660</v>
      </c>
      <c r="AA1" s="464" t="s">
        <v>1661</v>
      </c>
      <c r="AB1" s="464" t="s">
        <v>1662</v>
      </c>
      <c r="AC1" s="464" t="s">
        <v>1663</v>
      </c>
      <c r="AD1" s="464" t="s">
        <v>1664</v>
      </c>
      <c r="AE1" s="464" t="s">
        <v>1665</v>
      </c>
      <c r="AF1" s="409"/>
      <c r="AG1" s="409"/>
      <c r="AH1" s="409"/>
      <c r="AI1" s="409"/>
      <c r="AJ1" s="409"/>
      <c r="AK1" s="409"/>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1478</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1489</v>
      </c>
      <c r="H4" s="410"/>
      <c r="I4" s="411"/>
      <c r="J4" s="410"/>
      <c r="K4" s="410"/>
      <c r="L4" s="410"/>
      <c r="M4" s="410"/>
      <c r="N4" s="410"/>
      <c r="O4" s="410"/>
      <c r="P4" s="410"/>
      <c r="Q4" s="410"/>
      <c r="R4" s="410"/>
      <c r="S4" s="410"/>
      <c r="T4" s="410"/>
      <c r="U4" s="410"/>
      <c r="V4" s="410"/>
      <c r="W4" s="410"/>
      <c r="X4" s="410"/>
      <c r="Y4" s="410"/>
      <c r="Z4" s="410"/>
      <c r="AA4" s="410"/>
    </row>
    <row r="5" spans="1:42" s="409" customFormat="1" ht="18.75" customHeight="1" x14ac:dyDescent="0.25">
      <c r="A5" s="412" t="s">
        <v>1479</v>
      </c>
      <c r="B5" s="413"/>
      <c r="C5" s="413"/>
      <c r="D5" s="413"/>
      <c r="E5" s="413"/>
      <c r="F5" s="413"/>
      <c r="G5" s="413"/>
      <c r="H5" s="413"/>
      <c r="I5" s="413"/>
      <c r="J5" s="413"/>
      <c r="K5" s="413"/>
      <c r="L5" s="413"/>
      <c r="M5" s="413"/>
      <c r="N5" s="413"/>
      <c r="O5" s="413"/>
      <c r="P5" s="413"/>
      <c r="Q5" s="413"/>
      <c r="R5" s="413"/>
      <c r="S5" s="413"/>
      <c r="T5" s="413"/>
      <c r="U5" s="413"/>
    </row>
    <row r="6" spans="1:42" ht="15" customHeight="1" x14ac:dyDescent="0.25">
      <c r="A6" s="720" t="s">
        <v>96</v>
      </c>
      <c r="B6" s="722" t="s">
        <v>110</v>
      </c>
      <c r="C6" s="732" t="s">
        <v>1530</v>
      </c>
      <c r="D6" s="732" t="s">
        <v>1531</v>
      </c>
      <c r="E6" s="732" t="s">
        <v>86</v>
      </c>
      <c r="F6" s="732" t="s">
        <v>391</v>
      </c>
      <c r="G6" s="732" t="s">
        <v>87</v>
      </c>
      <c r="H6" s="735" t="s">
        <v>99</v>
      </c>
      <c r="I6" s="737"/>
      <c r="J6" s="737"/>
      <c r="K6" s="737"/>
      <c r="L6" s="737"/>
      <c r="M6" s="737"/>
      <c r="N6" s="737"/>
      <c r="O6" s="736"/>
      <c r="P6" s="741" t="s">
        <v>100</v>
      </c>
      <c r="Q6" s="742"/>
      <c r="R6" s="722" t="s">
        <v>102</v>
      </c>
      <c r="S6" s="722" t="s">
        <v>109</v>
      </c>
      <c r="T6" s="722" t="s">
        <v>108</v>
      </c>
      <c r="U6" s="738" t="s">
        <v>88</v>
      </c>
    </row>
    <row r="7" spans="1:42" ht="15" customHeight="1" x14ac:dyDescent="0.25">
      <c r="A7" s="720"/>
      <c r="B7" s="720"/>
      <c r="C7" s="733"/>
      <c r="D7" s="733"/>
      <c r="E7" s="733"/>
      <c r="F7" s="733"/>
      <c r="G7" s="733"/>
      <c r="H7" s="735" t="s">
        <v>103</v>
      </c>
      <c r="I7" s="736"/>
      <c r="J7" s="735" t="s">
        <v>104</v>
      </c>
      <c r="K7" s="736"/>
      <c r="L7" s="735" t="s">
        <v>105</v>
      </c>
      <c r="M7" s="736"/>
      <c r="N7" s="735" t="s">
        <v>106</v>
      </c>
      <c r="O7" s="736"/>
      <c r="P7" s="743"/>
      <c r="Q7" s="744"/>
      <c r="R7" s="720"/>
      <c r="S7" s="720"/>
      <c r="T7" s="720"/>
      <c r="U7" s="739"/>
    </row>
    <row r="8" spans="1:42" ht="25.5" x14ac:dyDescent="0.25">
      <c r="A8" s="721"/>
      <c r="B8" s="721"/>
      <c r="C8" s="734"/>
      <c r="D8" s="734"/>
      <c r="E8" s="734"/>
      <c r="F8" s="734"/>
      <c r="G8" s="734"/>
      <c r="H8" s="440" t="s">
        <v>107</v>
      </c>
      <c r="I8" s="440" t="s">
        <v>12</v>
      </c>
      <c r="J8" s="440" t="s">
        <v>107</v>
      </c>
      <c r="K8" s="440" t="s">
        <v>12</v>
      </c>
      <c r="L8" s="440" t="s">
        <v>107</v>
      </c>
      <c r="M8" s="440" t="s">
        <v>12</v>
      </c>
      <c r="N8" s="440" t="s">
        <v>107</v>
      </c>
      <c r="O8" s="440" t="s">
        <v>12</v>
      </c>
      <c r="P8" s="440" t="s">
        <v>107</v>
      </c>
      <c r="Q8" s="440" t="s">
        <v>12</v>
      </c>
      <c r="R8" s="721"/>
      <c r="S8" s="721"/>
      <c r="T8" s="721"/>
      <c r="U8" s="740"/>
    </row>
    <row r="9" spans="1:42" ht="15.75" x14ac:dyDescent="0.25">
      <c r="A9" s="441"/>
      <c r="B9" s="442"/>
      <c r="C9" s="443"/>
      <c r="D9" s="443"/>
      <c r="E9" s="443"/>
      <c r="F9" s="444"/>
      <c r="G9" s="443"/>
      <c r="H9" s="445"/>
      <c r="I9" s="445"/>
      <c r="J9" s="445"/>
      <c r="K9" s="445"/>
      <c r="L9" s="445"/>
      <c r="M9" s="445"/>
      <c r="N9" s="445"/>
      <c r="O9" s="445"/>
      <c r="P9" s="445"/>
      <c r="Q9" s="445"/>
      <c r="R9" s="446"/>
      <c r="S9" s="446"/>
      <c r="T9" s="446"/>
      <c r="U9" s="447"/>
    </row>
    <row r="10" spans="1:42" ht="15.75" customHeight="1" x14ac:dyDescent="0.25">
      <c r="A10" s="723" t="s">
        <v>1480</v>
      </c>
      <c r="B10" s="723" t="s">
        <v>1481</v>
      </c>
      <c r="C10" s="325"/>
      <c r="D10" s="325"/>
      <c r="E10" s="325"/>
      <c r="F10" s="325"/>
      <c r="G10" s="325"/>
      <c r="H10" s="355"/>
      <c r="I10" s="356"/>
      <c r="J10" s="355"/>
      <c r="K10" s="356"/>
      <c r="L10" s="355"/>
      <c r="M10" s="356"/>
      <c r="N10" s="355"/>
      <c r="O10" s="356"/>
      <c r="P10" s="403">
        <f t="shared" ref="P10:Q62" si="0">H10+J10+L10+N10</f>
        <v>0</v>
      </c>
      <c r="Q10" s="401">
        <f t="shared" si="0"/>
        <v>0</v>
      </c>
      <c r="R10" s="325"/>
      <c r="S10" s="325"/>
      <c r="T10" s="325"/>
      <c r="U10" s="325"/>
    </row>
    <row r="11" spans="1:42" ht="15.75" x14ac:dyDescent="0.25">
      <c r="A11" s="724"/>
      <c r="B11" s="724"/>
      <c r="C11" s="325"/>
      <c r="D11" s="325"/>
      <c r="E11" s="325"/>
      <c r="F11" s="325"/>
      <c r="G11" s="325"/>
      <c r="H11" s="355"/>
      <c r="I11" s="356"/>
      <c r="J11" s="355"/>
      <c r="K11" s="356"/>
      <c r="L11" s="355"/>
      <c r="M11" s="356"/>
      <c r="N11" s="355"/>
      <c r="O11" s="356"/>
      <c r="P11" s="403">
        <f t="shared" si="0"/>
        <v>0</v>
      </c>
      <c r="Q11" s="401">
        <f t="shared" si="0"/>
        <v>0</v>
      </c>
      <c r="R11" s="325"/>
      <c r="S11" s="325"/>
      <c r="T11" s="325"/>
      <c r="U11" s="325"/>
    </row>
    <row r="12" spans="1:42" ht="15.75" x14ac:dyDescent="0.25">
      <c r="A12" s="724"/>
      <c r="B12" s="724"/>
      <c r="C12" s="325"/>
      <c r="D12" s="325"/>
      <c r="E12" s="325"/>
      <c r="F12" s="325"/>
      <c r="G12" s="325"/>
      <c r="H12" s="355"/>
      <c r="I12" s="356"/>
      <c r="J12" s="355"/>
      <c r="K12" s="356"/>
      <c r="L12" s="355"/>
      <c r="M12" s="356"/>
      <c r="N12" s="355"/>
      <c r="O12" s="356"/>
      <c r="P12" s="403">
        <f t="shared" si="0"/>
        <v>0</v>
      </c>
      <c r="Q12" s="401">
        <f t="shared" si="0"/>
        <v>0</v>
      </c>
      <c r="R12" s="325"/>
      <c r="S12" s="325"/>
      <c r="T12" s="325"/>
      <c r="U12" s="325"/>
    </row>
    <row r="13" spans="1:42" ht="15.75" x14ac:dyDescent="0.25">
      <c r="A13" s="724"/>
      <c r="B13" s="724"/>
      <c r="C13" s="325"/>
      <c r="D13" s="325"/>
      <c r="E13" s="325"/>
      <c r="F13" s="325"/>
      <c r="G13" s="325"/>
      <c r="H13" s="355"/>
      <c r="I13" s="356"/>
      <c r="J13" s="355"/>
      <c r="K13" s="356"/>
      <c r="L13" s="355"/>
      <c r="M13" s="356"/>
      <c r="N13" s="355"/>
      <c r="O13" s="356"/>
      <c r="P13" s="403">
        <f t="shared" ref="P13:P25" si="1">H13+J13+L13+N13</f>
        <v>0</v>
      </c>
      <c r="Q13" s="401">
        <f t="shared" ref="Q13:Q25" si="2">I13+K13+M13+O13</f>
        <v>0</v>
      </c>
      <c r="R13" s="325"/>
      <c r="S13" s="325"/>
      <c r="T13" s="325"/>
      <c r="U13" s="325"/>
    </row>
    <row r="14" spans="1:42" ht="15.75" x14ac:dyDescent="0.25">
      <c r="A14" s="724"/>
      <c r="B14" s="724"/>
      <c r="C14" s="325"/>
      <c r="D14" s="325"/>
      <c r="E14" s="325"/>
      <c r="F14" s="325"/>
      <c r="G14" s="325"/>
      <c r="H14" s="355"/>
      <c r="I14" s="356"/>
      <c r="J14" s="355"/>
      <c r="K14" s="356"/>
      <c r="L14" s="355"/>
      <c r="M14" s="356"/>
      <c r="N14" s="355"/>
      <c r="O14" s="356"/>
      <c r="P14" s="403">
        <f t="shared" si="1"/>
        <v>0</v>
      </c>
      <c r="Q14" s="401">
        <f t="shared" si="2"/>
        <v>0</v>
      </c>
      <c r="R14" s="325"/>
      <c r="S14" s="325"/>
      <c r="T14" s="325"/>
      <c r="U14" s="325"/>
    </row>
    <row r="15" spans="1:42" ht="15.75" x14ac:dyDescent="0.25">
      <c r="A15" s="724"/>
      <c r="B15" s="724"/>
      <c r="C15" s="325"/>
      <c r="D15" s="325"/>
      <c r="E15" s="325"/>
      <c r="F15" s="325"/>
      <c r="G15" s="325"/>
      <c r="H15" s="355"/>
      <c r="I15" s="356"/>
      <c r="J15" s="355"/>
      <c r="K15" s="356"/>
      <c r="L15" s="355"/>
      <c r="M15" s="356"/>
      <c r="N15" s="355"/>
      <c r="O15" s="356"/>
      <c r="P15" s="403">
        <f t="shared" si="1"/>
        <v>0</v>
      </c>
      <c r="Q15" s="401">
        <f t="shared" si="2"/>
        <v>0</v>
      </c>
      <c r="R15" s="325"/>
      <c r="S15" s="325"/>
      <c r="T15" s="325"/>
      <c r="U15" s="325"/>
    </row>
    <row r="16" spans="1:42" ht="15.75" x14ac:dyDescent="0.25">
      <c r="A16" s="724"/>
      <c r="B16" s="724"/>
      <c r="C16" s="325"/>
      <c r="D16" s="325"/>
      <c r="E16" s="325"/>
      <c r="F16" s="325"/>
      <c r="G16" s="325"/>
      <c r="H16" s="355"/>
      <c r="I16" s="356"/>
      <c r="J16" s="355"/>
      <c r="K16" s="356"/>
      <c r="L16" s="355"/>
      <c r="M16" s="356"/>
      <c r="N16" s="355"/>
      <c r="O16" s="356"/>
      <c r="P16" s="403">
        <f t="shared" si="1"/>
        <v>0</v>
      </c>
      <c r="Q16" s="401">
        <f t="shared" si="2"/>
        <v>0</v>
      </c>
      <c r="R16" s="325"/>
      <c r="S16" s="325"/>
      <c r="T16" s="325"/>
      <c r="U16" s="325"/>
    </row>
    <row r="17" spans="1:21" ht="15.75" x14ac:dyDescent="0.25">
      <c r="A17" s="724"/>
      <c r="B17" s="725"/>
      <c r="C17" s="325"/>
      <c r="D17" s="325"/>
      <c r="E17" s="325"/>
      <c r="F17" s="325"/>
      <c r="G17" s="325"/>
      <c r="H17" s="355"/>
      <c r="I17" s="356"/>
      <c r="J17" s="355"/>
      <c r="K17" s="356"/>
      <c r="L17" s="355"/>
      <c r="M17" s="356"/>
      <c r="N17" s="355"/>
      <c r="O17" s="356"/>
      <c r="P17" s="403">
        <f t="shared" si="1"/>
        <v>0</v>
      </c>
      <c r="Q17" s="401">
        <f t="shared" si="2"/>
        <v>0</v>
      </c>
      <c r="R17" s="325"/>
      <c r="S17" s="325"/>
      <c r="T17" s="325"/>
      <c r="U17" s="325"/>
    </row>
    <row r="18" spans="1:21" ht="15.75" x14ac:dyDescent="0.25">
      <c r="A18" s="724"/>
      <c r="B18" s="723" t="s">
        <v>1482</v>
      </c>
      <c r="C18" s="325"/>
      <c r="D18" s="325"/>
      <c r="E18" s="325"/>
      <c r="F18" s="325"/>
      <c r="G18" s="325"/>
      <c r="H18" s="355"/>
      <c r="I18" s="356"/>
      <c r="J18" s="355"/>
      <c r="K18" s="356"/>
      <c r="L18" s="355"/>
      <c r="M18" s="356"/>
      <c r="N18" s="355"/>
      <c r="O18" s="356"/>
      <c r="P18" s="403">
        <f t="shared" si="1"/>
        <v>0</v>
      </c>
      <c r="Q18" s="401">
        <f t="shared" si="2"/>
        <v>0</v>
      </c>
      <c r="R18" s="325"/>
      <c r="S18" s="325"/>
      <c r="T18" s="325"/>
      <c r="U18" s="325"/>
    </row>
    <row r="19" spans="1:21" ht="15.75" x14ac:dyDescent="0.25">
      <c r="A19" s="724"/>
      <c r="B19" s="724"/>
      <c r="C19" s="325"/>
      <c r="D19" s="325"/>
      <c r="E19" s="325"/>
      <c r="F19" s="325"/>
      <c r="G19" s="325"/>
      <c r="H19" s="355"/>
      <c r="I19" s="356"/>
      <c r="J19" s="355"/>
      <c r="K19" s="356"/>
      <c r="L19" s="355"/>
      <c r="M19" s="356"/>
      <c r="N19" s="355"/>
      <c r="O19" s="356"/>
      <c r="P19" s="403"/>
      <c r="Q19" s="401"/>
      <c r="R19" s="325"/>
      <c r="S19" s="325"/>
      <c r="T19" s="325"/>
      <c r="U19" s="325"/>
    </row>
    <row r="20" spans="1:21" ht="15.75" x14ac:dyDescent="0.25">
      <c r="A20" s="724"/>
      <c r="B20" s="724"/>
      <c r="C20" s="325"/>
      <c r="D20" s="325"/>
      <c r="E20" s="325"/>
      <c r="F20" s="325"/>
      <c r="G20" s="325"/>
      <c r="H20" s="355"/>
      <c r="I20" s="356"/>
      <c r="J20" s="355"/>
      <c r="K20" s="356"/>
      <c r="L20" s="355"/>
      <c r="M20" s="356"/>
      <c r="N20" s="355"/>
      <c r="O20" s="356"/>
      <c r="P20" s="403"/>
      <c r="Q20" s="401"/>
      <c r="R20" s="325"/>
      <c r="S20" s="325"/>
      <c r="T20" s="325"/>
      <c r="U20" s="325"/>
    </row>
    <row r="21" spans="1:21" ht="15.75" x14ac:dyDescent="0.25">
      <c r="A21" s="724"/>
      <c r="B21" s="724"/>
      <c r="C21" s="325"/>
      <c r="D21" s="325"/>
      <c r="E21" s="325"/>
      <c r="F21" s="325"/>
      <c r="G21" s="325"/>
      <c r="H21" s="355"/>
      <c r="I21" s="356"/>
      <c r="J21" s="355"/>
      <c r="K21" s="356"/>
      <c r="L21" s="355"/>
      <c r="M21" s="356"/>
      <c r="N21" s="355"/>
      <c r="O21" s="356"/>
      <c r="P21" s="403"/>
      <c r="Q21" s="401"/>
      <c r="R21" s="325"/>
      <c r="S21" s="325"/>
      <c r="T21" s="325"/>
      <c r="U21" s="325"/>
    </row>
    <row r="22" spans="1:21" ht="15.75" x14ac:dyDescent="0.25">
      <c r="A22" s="724"/>
      <c r="B22" s="724"/>
      <c r="C22" s="325"/>
      <c r="D22" s="325"/>
      <c r="E22" s="325"/>
      <c r="F22" s="325"/>
      <c r="G22" s="325"/>
      <c r="H22" s="355"/>
      <c r="I22" s="356"/>
      <c r="J22" s="355"/>
      <c r="K22" s="356"/>
      <c r="L22" s="355"/>
      <c r="M22" s="356"/>
      <c r="N22" s="355"/>
      <c r="O22" s="356"/>
      <c r="P22" s="403"/>
      <c r="Q22" s="401"/>
      <c r="R22" s="325"/>
      <c r="S22" s="325"/>
      <c r="T22" s="325"/>
      <c r="U22" s="325"/>
    </row>
    <row r="23" spans="1:21" ht="15.75" x14ac:dyDescent="0.25">
      <c r="A23" s="724"/>
      <c r="B23" s="724"/>
      <c r="C23" s="325"/>
      <c r="D23" s="325"/>
      <c r="E23" s="325"/>
      <c r="F23" s="325"/>
      <c r="G23" s="325"/>
      <c r="H23" s="355"/>
      <c r="I23" s="356"/>
      <c r="J23" s="355"/>
      <c r="K23" s="356"/>
      <c r="L23" s="355"/>
      <c r="M23" s="356"/>
      <c r="N23" s="355"/>
      <c r="O23" s="356"/>
      <c r="P23" s="403">
        <f t="shared" si="1"/>
        <v>0</v>
      </c>
      <c r="Q23" s="401">
        <f t="shared" si="2"/>
        <v>0</v>
      </c>
      <c r="R23" s="325"/>
      <c r="S23" s="325"/>
      <c r="T23" s="325"/>
      <c r="U23" s="325"/>
    </row>
    <row r="24" spans="1:21" ht="15.75" x14ac:dyDescent="0.25">
      <c r="A24" s="724"/>
      <c r="B24" s="725"/>
      <c r="C24" s="325"/>
      <c r="D24" s="325"/>
      <c r="E24" s="325"/>
      <c r="F24" s="325"/>
      <c r="G24" s="325"/>
      <c r="H24" s="355"/>
      <c r="I24" s="356"/>
      <c r="J24" s="355"/>
      <c r="K24" s="356"/>
      <c r="L24" s="355"/>
      <c r="M24" s="356"/>
      <c r="N24" s="355"/>
      <c r="O24" s="356"/>
      <c r="P24" s="403">
        <f t="shared" si="1"/>
        <v>0</v>
      </c>
      <c r="Q24" s="401">
        <f t="shared" si="2"/>
        <v>0</v>
      </c>
      <c r="R24" s="325"/>
      <c r="S24" s="325"/>
      <c r="T24" s="325"/>
      <c r="U24" s="325"/>
    </row>
    <row r="25" spans="1:21" ht="15.75" x14ac:dyDescent="0.25">
      <c r="A25" s="724"/>
      <c r="B25" s="723" t="s">
        <v>1483</v>
      </c>
      <c r="C25" s="325"/>
      <c r="D25" s="325"/>
      <c r="E25" s="325"/>
      <c r="F25" s="325"/>
      <c r="G25" s="325"/>
      <c r="H25" s="355"/>
      <c r="I25" s="356"/>
      <c r="J25" s="355"/>
      <c r="K25" s="356"/>
      <c r="L25" s="355"/>
      <c r="M25" s="356"/>
      <c r="N25" s="355"/>
      <c r="O25" s="356"/>
      <c r="P25" s="403">
        <f t="shared" si="1"/>
        <v>0</v>
      </c>
      <c r="Q25" s="401">
        <f t="shared" si="2"/>
        <v>0</v>
      </c>
      <c r="R25" s="325"/>
      <c r="S25" s="325"/>
      <c r="T25" s="325"/>
      <c r="U25" s="325"/>
    </row>
    <row r="26" spans="1:21" ht="15.75" x14ac:dyDescent="0.25">
      <c r="A26" s="724"/>
      <c r="B26" s="724"/>
      <c r="C26" s="325"/>
      <c r="D26" s="325"/>
      <c r="E26" s="325"/>
      <c r="F26" s="325"/>
      <c r="G26" s="325"/>
      <c r="H26" s="355"/>
      <c r="I26" s="356"/>
      <c r="J26" s="355"/>
      <c r="K26" s="356"/>
      <c r="L26" s="355"/>
      <c r="M26" s="356"/>
      <c r="N26" s="355"/>
      <c r="O26" s="356"/>
      <c r="P26" s="403">
        <f t="shared" si="0"/>
        <v>0</v>
      </c>
      <c r="Q26" s="401">
        <f t="shared" si="0"/>
        <v>0</v>
      </c>
      <c r="R26" s="325"/>
      <c r="S26" s="325"/>
      <c r="T26" s="325"/>
      <c r="U26" s="325"/>
    </row>
    <row r="27" spans="1:21" ht="15.75" x14ac:dyDescent="0.25">
      <c r="A27" s="724"/>
      <c r="B27" s="724"/>
      <c r="C27" s="325"/>
      <c r="D27" s="325"/>
      <c r="E27" s="325"/>
      <c r="F27" s="325"/>
      <c r="G27" s="325"/>
      <c r="H27" s="355"/>
      <c r="I27" s="356"/>
      <c r="J27" s="355"/>
      <c r="K27" s="356"/>
      <c r="L27" s="355"/>
      <c r="M27" s="356"/>
      <c r="N27" s="355"/>
      <c r="O27" s="356"/>
      <c r="P27" s="403">
        <f t="shared" si="0"/>
        <v>0</v>
      </c>
      <c r="Q27" s="401">
        <f t="shared" si="0"/>
        <v>0</v>
      </c>
      <c r="R27" s="325"/>
      <c r="S27" s="325"/>
      <c r="T27" s="325"/>
      <c r="U27" s="325"/>
    </row>
    <row r="28" spans="1:21" ht="15.75" x14ac:dyDescent="0.25">
      <c r="A28" s="724"/>
      <c r="B28" s="725"/>
      <c r="C28" s="325"/>
      <c r="D28" s="325"/>
      <c r="E28" s="325"/>
      <c r="F28" s="325"/>
      <c r="G28" s="325"/>
      <c r="H28" s="355"/>
      <c r="I28" s="356"/>
      <c r="J28" s="355"/>
      <c r="K28" s="356"/>
      <c r="L28" s="355"/>
      <c r="M28" s="356"/>
      <c r="N28" s="355"/>
      <c r="O28" s="356"/>
      <c r="P28" s="403">
        <f t="shared" si="0"/>
        <v>0</v>
      </c>
      <c r="Q28" s="401">
        <f t="shared" si="0"/>
        <v>0</v>
      </c>
      <c r="R28" s="325"/>
      <c r="S28" s="325"/>
      <c r="T28" s="325"/>
      <c r="U28" s="325"/>
    </row>
    <row r="29" spans="1:21" ht="15.75" x14ac:dyDescent="0.25">
      <c r="A29" s="724"/>
      <c r="B29" s="723" t="s">
        <v>1484</v>
      </c>
      <c r="C29" s="325"/>
      <c r="D29" s="325"/>
      <c r="E29" s="325"/>
      <c r="F29" s="325"/>
      <c r="G29" s="325"/>
      <c r="H29" s="355"/>
      <c r="I29" s="356"/>
      <c r="J29" s="355"/>
      <c r="K29" s="356"/>
      <c r="L29" s="355"/>
      <c r="M29" s="356"/>
      <c r="N29" s="355"/>
      <c r="O29" s="356"/>
      <c r="P29" s="403">
        <f t="shared" si="0"/>
        <v>0</v>
      </c>
      <c r="Q29" s="401">
        <f t="shared" si="0"/>
        <v>0</v>
      </c>
      <c r="R29" s="325"/>
      <c r="S29" s="325"/>
      <c r="T29" s="325"/>
      <c r="U29" s="325"/>
    </row>
    <row r="30" spans="1:21" ht="15.75" x14ac:dyDescent="0.25">
      <c r="A30" s="724"/>
      <c r="B30" s="724"/>
      <c r="C30" s="325"/>
      <c r="D30" s="325"/>
      <c r="E30" s="325"/>
      <c r="F30" s="325"/>
      <c r="G30" s="325"/>
      <c r="H30" s="355"/>
      <c r="I30" s="356"/>
      <c r="J30" s="355"/>
      <c r="K30" s="356"/>
      <c r="L30" s="355"/>
      <c r="M30" s="356"/>
      <c r="N30" s="355"/>
      <c r="O30" s="356"/>
      <c r="P30" s="403">
        <f t="shared" si="0"/>
        <v>0</v>
      </c>
      <c r="Q30" s="401">
        <f t="shared" si="0"/>
        <v>0</v>
      </c>
      <c r="R30" s="325"/>
      <c r="S30" s="325"/>
      <c r="T30" s="325"/>
      <c r="U30" s="325"/>
    </row>
    <row r="31" spans="1:21" ht="15.75" x14ac:dyDescent="0.25">
      <c r="A31" s="724"/>
      <c r="B31" s="724"/>
      <c r="C31" s="325"/>
      <c r="D31" s="325"/>
      <c r="E31" s="325"/>
      <c r="F31" s="325"/>
      <c r="G31" s="325"/>
      <c r="H31" s="355"/>
      <c r="I31" s="356"/>
      <c r="J31" s="355"/>
      <c r="K31" s="356"/>
      <c r="L31" s="355"/>
      <c r="M31" s="356"/>
      <c r="N31" s="355"/>
      <c r="O31" s="356"/>
      <c r="P31" s="403"/>
      <c r="Q31" s="401"/>
      <c r="R31" s="325"/>
      <c r="S31" s="325"/>
      <c r="T31" s="325"/>
      <c r="U31" s="325"/>
    </row>
    <row r="32" spans="1:21" ht="15.75" x14ac:dyDescent="0.25">
      <c r="A32" s="724"/>
      <c r="B32" s="724"/>
      <c r="C32" s="325"/>
      <c r="D32" s="325"/>
      <c r="E32" s="325"/>
      <c r="F32" s="325"/>
      <c r="G32" s="325"/>
      <c r="H32" s="355"/>
      <c r="I32" s="356"/>
      <c r="J32" s="355"/>
      <c r="K32" s="356"/>
      <c r="L32" s="355"/>
      <c r="M32" s="356"/>
      <c r="N32" s="355"/>
      <c r="O32" s="356"/>
      <c r="P32" s="403"/>
      <c r="Q32" s="401"/>
      <c r="R32" s="325"/>
      <c r="S32" s="325"/>
      <c r="T32" s="325"/>
      <c r="U32" s="325"/>
    </row>
    <row r="33" spans="1:21" ht="15.75" x14ac:dyDescent="0.25">
      <c r="A33" s="724"/>
      <c r="B33" s="724"/>
      <c r="C33" s="325"/>
      <c r="D33" s="325"/>
      <c r="E33" s="325"/>
      <c r="F33" s="325"/>
      <c r="G33" s="325"/>
      <c r="H33" s="355"/>
      <c r="I33" s="356"/>
      <c r="J33" s="355"/>
      <c r="K33" s="356"/>
      <c r="L33" s="355"/>
      <c r="M33" s="356"/>
      <c r="N33" s="355"/>
      <c r="O33" s="356"/>
      <c r="P33" s="403"/>
      <c r="Q33" s="401"/>
      <c r="R33" s="325"/>
      <c r="S33" s="325"/>
      <c r="T33" s="325"/>
      <c r="U33" s="325"/>
    </row>
    <row r="34" spans="1:21" ht="15.75" x14ac:dyDescent="0.25">
      <c r="A34" s="724"/>
      <c r="B34" s="724"/>
      <c r="C34" s="325"/>
      <c r="D34" s="325"/>
      <c r="E34" s="325"/>
      <c r="F34" s="325"/>
      <c r="G34" s="325"/>
      <c r="H34" s="355"/>
      <c r="I34" s="356"/>
      <c r="J34" s="355"/>
      <c r="K34" s="356"/>
      <c r="L34" s="355"/>
      <c r="M34" s="356"/>
      <c r="N34" s="355"/>
      <c r="O34" s="356"/>
      <c r="P34" s="403"/>
      <c r="Q34" s="401"/>
      <c r="R34" s="325"/>
      <c r="S34" s="325"/>
      <c r="T34" s="325"/>
      <c r="U34" s="325"/>
    </row>
    <row r="35" spans="1:21" ht="15.75" x14ac:dyDescent="0.25">
      <c r="A35" s="724"/>
      <c r="B35" s="724"/>
      <c r="C35" s="325"/>
      <c r="D35" s="325"/>
      <c r="E35" s="325"/>
      <c r="F35" s="325"/>
      <c r="G35" s="325"/>
      <c r="H35" s="355"/>
      <c r="I35" s="356"/>
      <c r="J35" s="355"/>
      <c r="K35" s="356"/>
      <c r="L35" s="355"/>
      <c r="M35" s="356"/>
      <c r="N35" s="355"/>
      <c r="O35" s="356"/>
      <c r="P35" s="403">
        <f t="shared" si="0"/>
        <v>0</v>
      </c>
      <c r="Q35" s="401">
        <f t="shared" si="0"/>
        <v>0</v>
      </c>
      <c r="R35" s="325"/>
      <c r="S35" s="325"/>
      <c r="T35" s="325"/>
      <c r="U35" s="325"/>
    </row>
    <row r="36" spans="1:21" ht="15.75" x14ac:dyDescent="0.25">
      <c r="A36" s="724"/>
      <c r="B36" s="724"/>
      <c r="C36" s="325"/>
      <c r="D36" s="325"/>
      <c r="E36" s="325"/>
      <c r="F36" s="325"/>
      <c r="G36" s="325"/>
      <c r="H36" s="355"/>
      <c r="I36" s="356"/>
      <c r="J36" s="355"/>
      <c r="K36" s="356"/>
      <c r="L36" s="355"/>
      <c r="M36" s="356"/>
      <c r="N36" s="355"/>
      <c r="O36" s="356"/>
      <c r="P36" s="403"/>
      <c r="Q36" s="401"/>
      <c r="R36" s="325"/>
      <c r="S36" s="325"/>
      <c r="T36" s="325"/>
      <c r="U36" s="325"/>
    </row>
    <row r="37" spans="1:21" ht="15.75" x14ac:dyDescent="0.25">
      <c r="A37" s="724"/>
      <c r="B37" s="724"/>
      <c r="C37" s="325"/>
      <c r="D37" s="325"/>
      <c r="E37" s="325"/>
      <c r="F37" s="325"/>
      <c r="G37" s="325"/>
      <c r="H37" s="355"/>
      <c r="I37" s="356"/>
      <c r="J37" s="355"/>
      <c r="K37" s="356"/>
      <c r="L37" s="355"/>
      <c r="M37" s="356"/>
      <c r="N37" s="355"/>
      <c r="O37" s="356"/>
      <c r="P37" s="403"/>
      <c r="Q37" s="401"/>
      <c r="R37" s="325"/>
      <c r="S37" s="325"/>
      <c r="T37" s="325"/>
      <c r="U37" s="325"/>
    </row>
    <row r="38" spans="1:21" ht="15.75" x14ac:dyDescent="0.25">
      <c r="A38" s="724"/>
      <c r="B38" s="724"/>
      <c r="C38" s="325"/>
      <c r="D38" s="325"/>
      <c r="E38" s="325"/>
      <c r="F38" s="325"/>
      <c r="G38" s="325"/>
      <c r="H38" s="355"/>
      <c r="I38" s="356"/>
      <c r="J38" s="355"/>
      <c r="K38" s="356"/>
      <c r="L38" s="355"/>
      <c r="M38" s="356"/>
      <c r="N38" s="355"/>
      <c r="O38" s="356"/>
      <c r="P38" s="403"/>
      <c r="Q38" s="401"/>
      <c r="R38" s="325"/>
      <c r="S38" s="325"/>
      <c r="T38" s="325"/>
      <c r="U38" s="325"/>
    </row>
    <row r="39" spans="1:21" ht="15.75" x14ac:dyDescent="0.25">
      <c r="A39" s="724"/>
      <c r="B39" s="724"/>
      <c r="C39" s="325"/>
      <c r="D39" s="325"/>
      <c r="E39" s="325"/>
      <c r="F39" s="325"/>
      <c r="G39" s="325"/>
      <c r="H39" s="355"/>
      <c r="I39" s="356"/>
      <c r="J39" s="355"/>
      <c r="K39" s="356"/>
      <c r="L39" s="355"/>
      <c r="M39" s="356"/>
      <c r="N39" s="355"/>
      <c r="O39" s="356"/>
      <c r="P39" s="403"/>
      <c r="Q39" s="401"/>
      <c r="R39" s="325"/>
      <c r="S39" s="325"/>
      <c r="T39" s="325"/>
      <c r="U39" s="325"/>
    </row>
    <row r="40" spans="1:21" ht="15.75" x14ac:dyDescent="0.25">
      <c r="A40" s="725"/>
      <c r="B40" s="725"/>
      <c r="C40" s="325"/>
      <c r="D40" s="325"/>
      <c r="E40" s="325"/>
      <c r="F40" s="325"/>
      <c r="G40" s="325"/>
      <c r="H40" s="355"/>
      <c r="I40" s="356"/>
      <c r="J40" s="355"/>
      <c r="K40" s="356"/>
      <c r="L40" s="355"/>
      <c r="M40" s="356"/>
      <c r="N40" s="355"/>
      <c r="O40" s="356"/>
      <c r="P40" s="403"/>
      <c r="Q40" s="401"/>
      <c r="R40" s="325"/>
      <c r="S40" s="325"/>
      <c r="T40" s="325"/>
      <c r="U40" s="325"/>
    </row>
    <row r="41" spans="1:21" ht="15.75" x14ac:dyDescent="0.25">
      <c r="A41" s="723" t="s">
        <v>1485</v>
      </c>
      <c r="B41" s="723" t="s">
        <v>1486</v>
      </c>
      <c r="C41" s="325"/>
      <c r="D41" s="325"/>
      <c r="E41" s="325"/>
      <c r="F41" s="325"/>
      <c r="G41" s="325"/>
      <c r="H41" s="355"/>
      <c r="I41" s="356"/>
      <c r="J41" s="355"/>
      <c r="K41" s="356"/>
      <c r="L41" s="355"/>
      <c r="M41" s="356"/>
      <c r="N41" s="355"/>
      <c r="O41" s="356"/>
      <c r="P41" s="403"/>
      <c r="Q41" s="401"/>
      <c r="R41" s="325"/>
      <c r="S41" s="325"/>
      <c r="T41" s="325"/>
      <c r="U41" s="325"/>
    </row>
    <row r="42" spans="1:21" ht="15.75" x14ac:dyDescent="0.25">
      <c r="A42" s="724"/>
      <c r="B42" s="724"/>
      <c r="C42" s="325"/>
      <c r="D42" s="325"/>
      <c r="E42" s="325"/>
      <c r="F42" s="325"/>
      <c r="G42" s="325"/>
      <c r="H42" s="355"/>
      <c r="I42" s="356"/>
      <c r="J42" s="355"/>
      <c r="K42" s="356"/>
      <c r="L42" s="355"/>
      <c r="M42" s="356"/>
      <c r="N42" s="355"/>
      <c r="O42" s="356"/>
      <c r="P42" s="403"/>
      <c r="Q42" s="401"/>
      <c r="R42" s="325"/>
      <c r="S42" s="325"/>
      <c r="T42" s="325"/>
      <c r="U42" s="325"/>
    </row>
    <row r="43" spans="1:21" ht="15.75" x14ac:dyDescent="0.25">
      <c r="A43" s="724"/>
      <c r="B43" s="724"/>
      <c r="C43" s="325"/>
      <c r="D43" s="325"/>
      <c r="E43" s="325"/>
      <c r="F43" s="325"/>
      <c r="G43" s="325"/>
      <c r="H43" s="355"/>
      <c r="I43" s="356"/>
      <c r="J43" s="355"/>
      <c r="K43" s="356"/>
      <c r="L43" s="355"/>
      <c r="M43" s="356"/>
      <c r="N43" s="355"/>
      <c r="O43" s="356"/>
      <c r="P43" s="403"/>
      <c r="Q43" s="401"/>
      <c r="R43" s="325"/>
      <c r="S43" s="325"/>
      <c r="T43" s="325"/>
      <c r="U43" s="325"/>
    </row>
    <row r="44" spans="1:21" ht="15.75" x14ac:dyDescent="0.25">
      <c r="A44" s="724"/>
      <c r="B44" s="724"/>
      <c r="C44" s="325"/>
      <c r="D44" s="325"/>
      <c r="E44" s="325"/>
      <c r="F44" s="325"/>
      <c r="G44" s="325"/>
      <c r="H44" s="355"/>
      <c r="I44" s="356"/>
      <c r="J44" s="355"/>
      <c r="K44" s="356"/>
      <c r="L44" s="355"/>
      <c r="M44" s="356"/>
      <c r="N44" s="355"/>
      <c r="O44" s="356"/>
      <c r="P44" s="403"/>
      <c r="Q44" s="401"/>
      <c r="R44" s="325"/>
      <c r="S44" s="325"/>
      <c r="T44" s="325"/>
      <c r="U44" s="325"/>
    </row>
    <row r="45" spans="1:21" ht="15.75" x14ac:dyDescent="0.25">
      <c r="A45" s="724"/>
      <c r="B45" s="724"/>
      <c r="C45" s="325"/>
      <c r="D45" s="325"/>
      <c r="E45" s="325"/>
      <c r="F45" s="325"/>
      <c r="G45" s="325"/>
      <c r="H45" s="355"/>
      <c r="I45" s="356"/>
      <c r="J45" s="355"/>
      <c r="K45" s="356"/>
      <c r="L45" s="355"/>
      <c r="M45" s="356"/>
      <c r="N45" s="355"/>
      <c r="O45" s="356"/>
      <c r="P45" s="403"/>
      <c r="Q45" s="401"/>
      <c r="R45" s="325"/>
      <c r="S45" s="325"/>
      <c r="T45" s="325"/>
      <c r="U45" s="325"/>
    </row>
    <row r="46" spans="1:21" ht="15.75" x14ac:dyDescent="0.25">
      <c r="A46" s="724"/>
      <c r="B46" s="724"/>
      <c r="C46" s="325"/>
      <c r="D46" s="325"/>
      <c r="E46" s="325"/>
      <c r="F46" s="325"/>
      <c r="G46" s="325"/>
      <c r="H46" s="355"/>
      <c r="I46" s="356"/>
      <c r="J46" s="355"/>
      <c r="K46" s="356"/>
      <c r="L46" s="355"/>
      <c r="M46" s="356"/>
      <c r="N46" s="355"/>
      <c r="O46" s="356"/>
      <c r="P46" s="403"/>
      <c r="Q46" s="401"/>
      <c r="R46" s="325"/>
      <c r="S46" s="325"/>
      <c r="T46" s="325"/>
      <c r="U46" s="325"/>
    </row>
    <row r="47" spans="1:21" ht="15.75" x14ac:dyDescent="0.25">
      <c r="A47" s="724"/>
      <c r="B47" s="724"/>
      <c r="C47" s="325"/>
      <c r="D47" s="325"/>
      <c r="E47" s="325"/>
      <c r="F47" s="325"/>
      <c r="G47" s="325"/>
      <c r="H47" s="355"/>
      <c r="I47" s="356"/>
      <c r="J47" s="355"/>
      <c r="K47" s="356"/>
      <c r="L47" s="355"/>
      <c r="M47" s="356"/>
      <c r="N47" s="355"/>
      <c r="O47" s="356"/>
      <c r="P47" s="403">
        <f t="shared" si="0"/>
        <v>0</v>
      </c>
      <c r="Q47" s="401">
        <f t="shared" si="0"/>
        <v>0</v>
      </c>
      <c r="R47" s="325"/>
      <c r="S47" s="325"/>
      <c r="T47" s="325"/>
      <c r="U47" s="325"/>
    </row>
    <row r="48" spans="1:21" ht="15.75" x14ac:dyDescent="0.25">
      <c r="A48" s="724"/>
      <c r="B48" s="724"/>
      <c r="C48" s="325"/>
      <c r="D48" s="325"/>
      <c r="E48" s="325"/>
      <c r="F48" s="325"/>
      <c r="G48" s="325"/>
      <c r="H48" s="355"/>
      <c r="I48" s="356"/>
      <c r="J48" s="355"/>
      <c r="K48" s="356"/>
      <c r="L48" s="355"/>
      <c r="M48" s="356"/>
      <c r="N48" s="355"/>
      <c r="O48" s="356"/>
      <c r="P48" s="403">
        <f t="shared" si="0"/>
        <v>0</v>
      </c>
      <c r="Q48" s="401">
        <f t="shared" si="0"/>
        <v>0</v>
      </c>
      <c r="R48" s="325"/>
      <c r="S48" s="325"/>
      <c r="T48" s="325"/>
      <c r="U48" s="325"/>
    </row>
    <row r="49" spans="1:21" ht="15.75" x14ac:dyDescent="0.25">
      <c r="A49" s="724"/>
      <c r="B49" s="725"/>
      <c r="C49" s="325"/>
      <c r="D49" s="325"/>
      <c r="E49" s="325"/>
      <c r="F49" s="325"/>
      <c r="G49" s="325"/>
      <c r="H49" s="355"/>
      <c r="I49" s="356"/>
      <c r="J49" s="355"/>
      <c r="K49" s="356"/>
      <c r="L49" s="355"/>
      <c r="M49" s="356"/>
      <c r="N49" s="355"/>
      <c r="O49" s="356"/>
      <c r="P49" s="403">
        <f t="shared" si="0"/>
        <v>0</v>
      </c>
      <c r="Q49" s="401">
        <f t="shared" si="0"/>
        <v>0</v>
      </c>
      <c r="R49" s="325"/>
      <c r="S49" s="325"/>
      <c r="T49" s="325"/>
      <c r="U49" s="325"/>
    </row>
    <row r="50" spans="1:21" ht="15.75" x14ac:dyDescent="0.25">
      <c r="A50" s="724"/>
      <c r="B50" s="723" t="s">
        <v>1487</v>
      </c>
      <c r="C50" s="325"/>
      <c r="D50" s="325"/>
      <c r="E50" s="325"/>
      <c r="F50" s="325"/>
      <c r="G50" s="325"/>
      <c r="H50" s="355"/>
      <c r="I50" s="356"/>
      <c r="J50" s="355"/>
      <c r="K50" s="356"/>
      <c r="L50" s="355"/>
      <c r="M50" s="356"/>
      <c r="N50" s="355"/>
      <c r="O50" s="356"/>
      <c r="P50" s="403">
        <f t="shared" si="0"/>
        <v>0</v>
      </c>
      <c r="Q50" s="401">
        <f t="shared" si="0"/>
        <v>0</v>
      </c>
      <c r="R50" s="325"/>
      <c r="S50" s="325"/>
      <c r="T50" s="325"/>
      <c r="U50" s="325"/>
    </row>
    <row r="51" spans="1:21" ht="15.75" x14ac:dyDescent="0.25">
      <c r="A51" s="724"/>
      <c r="B51" s="724"/>
      <c r="C51" s="325"/>
      <c r="D51" s="325"/>
      <c r="E51" s="325"/>
      <c r="F51" s="325"/>
      <c r="G51" s="325"/>
      <c r="H51" s="355"/>
      <c r="I51" s="356"/>
      <c r="J51" s="355"/>
      <c r="K51" s="356"/>
      <c r="L51" s="355"/>
      <c r="M51" s="356"/>
      <c r="N51" s="355"/>
      <c r="O51" s="356"/>
      <c r="P51" s="403"/>
      <c r="Q51" s="401"/>
      <c r="R51" s="325"/>
      <c r="S51" s="325"/>
      <c r="T51" s="325"/>
      <c r="U51" s="325"/>
    </row>
    <row r="52" spans="1:21" ht="15.75" x14ac:dyDescent="0.25">
      <c r="A52" s="724"/>
      <c r="B52" s="724"/>
      <c r="C52" s="325"/>
      <c r="D52" s="325"/>
      <c r="E52" s="325"/>
      <c r="F52" s="325"/>
      <c r="G52" s="325"/>
      <c r="H52" s="355"/>
      <c r="I52" s="356"/>
      <c r="J52" s="355"/>
      <c r="K52" s="356"/>
      <c r="L52" s="355"/>
      <c r="M52" s="356"/>
      <c r="N52" s="355"/>
      <c r="O52" s="356"/>
      <c r="P52" s="403"/>
      <c r="Q52" s="401"/>
      <c r="R52" s="325"/>
      <c r="S52" s="325"/>
      <c r="T52" s="325"/>
      <c r="U52" s="325"/>
    </row>
    <row r="53" spans="1:21" ht="15.75" x14ac:dyDescent="0.25">
      <c r="A53" s="724"/>
      <c r="B53" s="724"/>
      <c r="C53" s="325"/>
      <c r="D53" s="325"/>
      <c r="E53" s="325"/>
      <c r="F53" s="325"/>
      <c r="G53" s="325"/>
      <c r="H53" s="355"/>
      <c r="I53" s="356"/>
      <c r="J53" s="355"/>
      <c r="K53" s="356"/>
      <c r="L53" s="355"/>
      <c r="M53" s="356"/>
      <c r="N53" s="355"/>
      <c r="O53" s="356"/>
      <c r="P53" s="403"/>
      <c r="Q53" s="401"/>
      <c r="R53" s="325"/>
      <c r="S53" s="325"/>
      <c r="T53" s="325"/>
      <c r="U53" s="325"/>
    </row>
    <row r="54" spans="1:21" ht="15.75" x14ac:dyDescent="0.25">
      <c r="A54" s="724"/>
      <c r="B54" s="724"/>
      <c r="C54" s="325"/>
      <c r="D54" s="325"/>
      <c r="E54" s="325"/>
      <c r="F54" s="325"/>
      <c r="G54" s="325"/>
      <c r="H54" s="355"/>
      <c r="I54" s="356"/>
      <c r="J54" s="355"/>
      <c r="K54" s="356"/>
      <c r="L54" s="355"/>
      <c r="M54" s="356"/>
      <c r="N54" s="355"/>
      <c r="O54" s="356"/>
      <c r="P54" s="403"/>
      <c r="Q54" s="401"/>
      <c r="R54" s="325"/>
      <c r="S54" s="325"/>
      <c r="T54" s="325"/>
      <c r="U54" s="325"/>
    </row>
    <row r="55" spans="1:21" ht="15.75" x14ac:dyDescent="0.25">
      <c r="A55" s="724"/>
      <c r="B55" s="724"/>
      <c r="C55" s="325"/>
      <c r="D55" s="325"/>
      <c r="E55" s="325"/>
      <c r="F55" s="325"/>
      <c r="G55" s="325"/>
      <c r="H55" s="355"/>
      <c r="I55" s="356"/>
      <c r="J55" s="355"/>
      <c r="K55" s="356"/>
      <c r="L55" s="355"/>
      <c r="M55" s="356"/>
      <c r="N55" s="355"/>
      <c r="O55" s="356"/>
      <c r="P55" s="403"/>
      <c r="Q55" s="401"/>
      <c r="R55" s="325"/>
      <c r="S55" s="325"/>
      <c r="T55" s="325"/>
      <c r="U55" s="325"/>
    </row>
    <row r="56" spans="1:21" ht="15.75" x14ac:dyDescent="0.25">
      <c r="A56" s="724"/>
      <c r="B56" s="724"/>
      <c r="C56" s="325"/>
      <c r="D56" s="325"/>
      <c r="E56" s="325"/>
      <c r="F56" s="325"/>
      <c r="G56" s="325"/>
      <c r="H56" s="355"/>
      <c r="I56" s="356"/>
      <c r="J56" s="355"/>
      <c r="K56" s="356"/>
      <c r="L56" s="355"/>
      <c r="M56" s="356"/>
      <c r="N56" s="355"/>
      <c r="O56" s="356"/>
      <c r="P56" s="403"/>
      <c r="Q56" s="401"/>
      <c r="R56" s="325"/>
      <c r="S56" s="325"/>
      <c r="T56" s="325"/>
      <c r="U56" s="325"/>
    </row>
    <row r="57" spans="1:21" ht="15.75" x14ac:dyDescent="0.25">
      <c r="A57" s="724"/>
      <c r="B57" s="724"/>
      <c r="C57" s="325"/>
      <c r="D57" s="325"/>
      <c r="E57" s="325"/>
      <c r="F57" s="325"/>
      <c r="G57" s="325"/>
      <c r="H57" s="355"/>
      <c r="I57" s="356"/>
      <c r="J57" s="355"/>
      <c r="K57" s="356"/>
      <c r="L57" s="355"/>
      <c r="M57" s="356"/>
      <c r="N57" s="355"/>
      <c r="O57" s="356"/>
      <c r="P57" s="403"/>
      <c r="Q57" s="401"/>
      <c r="R57" s="325"/>
      <c r="S57" s="325"/>
      <c r="T57" s="325"/>
      <c r="U57" s="325"/>
    </row>
    <row r="58" spans="1:21" ht="15.75" x14ac:dyDescent="0.25">
      <c r="A58" s="724"/>
      <c r="B58" s="724"/>
      <c r="C58" s="325"/>
      <c r="D58" s="325"/>
      <c r="E58" s="325"/>
      <c r="F58" s="325"/>
      <c r="G58" s="325"/>
      <c r="H58" s="355"/>
      <c r="I58" s="356"/>
      <c r="J58" s="355"/>
      <c r="K58" s="356"/>
      <c r="L58" s="355"/>
      <c r="M58" s="356"/>
      <c r="N58" s="355"/>
      <c r="O58" s="356"/>
      <c r="P58" s="403"/>
      <c r="Q58" s="401"/>
      <c r="R58" s="325"/>
      <c r="S58" s="325"/>
      <c r="T58" s="325"/>
      <c r="U58" s="325"/>
    </row>
    <row r="59" spans="1:21" ht="15.75" x14ac:dyDescent="0.25">
      <c r="A59" s="724"/>
      <c r="B59" s="724"/>
      <c r="C59" s="325"/>
      <c r="D59" s="325"/>
      <c r="E59" s="325"/>
      <c r="F59" s="325"/>
      <c r="G59" s="325"/>
      <c r="H59" s="355"/>
      <c r="I59" s="356"/>
      <c r="J59" s="355"/>
      <c r="K59" s="356"/>
      <c r="L59" s="355"/>
      <c r="M59" s="356"/>
      <c r="N59" s="355"/>
      <c r="O59" s="356"/>
      <c r="P59" s="403"/>
      <c r="Q59" s="401"/>
      <c r="R59" s="325"/>
      <c r="S59" s="325"/>
      <c r="T59" s="325"/>
      <c r="U59" s="325"/>
    </row>
    <row r="60" spans="1:21" ht="15.75" x14ac:dyDescent="0.25">
      <c r="A60" s="724"/>
      <c r="B60" s="724"/>
      <c r="C60" s="325"/>
      <c r="D60" s="325"/>
      <c r="E60" s="325"/>
      <c r="F60" s="325"/>
      <c r="G60" s="325"/>
      <c r="H60" s="355"/>
      <c r="I60" s="356"/>
      <c r="J60" s="355"/>
      <c r="K60" s="356"/>
      <c r="L60" s="355"/>
      <c r="M60" s="356"/>
      <c r="N60" s="355"/>
      <c r="O60" s="356"/>
      <c r="P60" s="403"/>
      <c r="Q60" s="401"/>
      <c r="R60" s="325"/>
      <c r="S60" s="325"/>
      <c r="T60" s="325"/>
      <c r="U60" s="325"/>
    </row>
    <row r="61" spans="1:21" ht="15.75" x14ac:dyDescent="0.25">
      <c r="A61" s="724"/>
      <c r="B61" s="724"/>
      <c r="C61" s="325"/>
      <c r="D61" s="325"/>
      <c r="E61" s="325"/>
      <c r="F61" s="325"/>
      <c r="G61" s="325"/>
      <c r="H61" s="355"/>
      <c r="I61" s="356"/>
      <c r="J61" s="355"/>
      <c r="K61" s="356"/>
      <c r="L61" s="355"/>
      <c r="M61" s="356"/>
      <c r="N61" s="355"/>
      <c r="O61" s="356"/>
      <c r="P61" s="403"/>
      <c r="Q61" s="401"/>
      <c r="R61" s="325"/>
      <c r="S61" s="325"/>
      <c r="T61" s="325"/>
      <c r="U61" s="325"/>
    </row>
    <row r="62" spans="1:21" ht="15.75" x14ac:dyDescent="0.25">
      <c r="A62" s="725"/>
      <c r="B62" s="725"/>
      <c r="C62" s="325"/>
      <c r="D62" s="325"/>
      <c r="E62" s="325"/>
      <c r="F62" s="325"/>
      <c r="G62" s="325"/>
      <c r="H62" s="355"/>
      <c r="I62" s="356"/>
      <c r="J62" s="355"/>
      <c r="K62" s="356"/>
      <c r="L62" s="355"/>
      <c r="M62" s="356"/>
      <c r="N62" s="355"/>
      <c r="O62" s="356"/>
      <c r="P62" s="403">
        <f t="shared" si="0"/>
        <v>0</v>
      </c>
      <c r="Q62" s="401">
        <f t="shared" si="0"/>
        <v>0</v>
      </c>
      <c r="R62" s="325"/>
      <c r="S62" s="325"/>
      <c r="T62" s="325"/>
      <c r="U62" s="325"/>
    </row>
    <row r="63" spans="1:21" ht="15.75" x14ac:dyDescent="0.25">
      <c r="A63" s="723" t="s">
        <v>1488</v>
      </c>
      <c r="B63" s="414"/>
      <c r="C63" s="325"/>
      <c r="D63" s="325"/>
      <c r="E63" s="325"/>
      <c r="F63" s="325"/>
      <c r="G63" s="325"/>
      <c r="H63" s="355"/>
      <c r="I63" s="356"/>
      <c r="J63" s="355"/>
      <c r="K63" s="356"/>
      <c r="L63" s="355"/>
      <c r="M63" s="356"/>
      <c r="N63" s="355"/>
      <c r="O63" s="356"/>
      <c r="P63" s="403">
        <f t="shared" ref="P63:Q69" si="3">H63+J63+L63+N63</f>
        <v>0</v>
      </c>
      <c r="Q63" s="401">
        <f t="shared" si="3"/>
        <v>0</v>
      </c>
      <c r="R63" s="325"/>
      <c r="S63" s="325"/>
      <c r="T63" s="325"/>
      <c r="U63" s="325"/>
    </row>
    <row r="64" spans="1:21" ht="15.75" x14ac:dyDescent="0.25">
      <c r="A64" s="724"/>
      <c r="B64" s="414"/>
      <c r="C64" s="325"/>
      <c r="D64" s="325"/>
      <c r="E64" s="325"/>
      <c r="F64" s="325"/>
      <c r="G64" s="325"/>
      <c r="H64" s="355"/>
      <c r="I64" s="356"/>
      <c r="J64" s="355"/>
      <c r="K64" s="356"/>
      <c r="L64" s="355"/>
      <c r="M64" s="356"/>
      <c r="N64" s="355"/>
      <c r="O64" s="356"/>
      <c r="P64" s="403"/>
      <c r="Q64" s="401"/>
      <c r="R64" s="325"/>
      <c r="S64" s="325"/>
      <c r="T64" s="325"/>
      <c r="U64" s="325"/>
    </row>
    <row r="65" spans="1:21" ht="15.75" x14ac:dyDescent="0.25">
      <c r="A65" s="724"/>
      <c r="B65" s="414"/>
      <c r="C65" s="325"/>
      <c r="D65" s="325"/>
      <c r="E65" s="325"/>
      <c r="F65" s="325"/>
      <c r="G65" s="325"/>
      <c r="H65" s="355"/>
      <c r="I65" s="356"/>
      <c r="J65" s="355"/>
      <c r="K65" s="356"/>
      <c r="L65" s="355"/>
      <c r="M65" s="356"/>
      <c r="N65" s="355"/>
      <c r="O65" s="356"/>
      <c r="P65" s="403"/>
      <c r="Q65" s="401"/>
      <c r="R65" s="325"/>
      <c r="S65" s="325"/>
      <c r="T65" s="325"/>
      <c r="U65" s="325"/>
    </row>
    <row r="66" spans="1:21" ht="15.75" x14ac:dyDescent="0.25">
      <c r="A66" s="724"/>
      <c r="B66" s="414"/>
      <c r="C66" s="325"/>
      <c r="D66" s="325"/>
      <c r="E66" s="325"/>
      <c r="F66" s="325"/>
      <c r="G66" s="325"/>
      <c r="H66" s="355"/>
      <c r="I66" s="356"/>
      <c r="J66" s="355"/>
      <c r="K66" s="356"/>
      <c r="L66" s="355"/>
      <c r="M66" s="356"/>
      <c r="N66" s="355"/>
      <c r="O66" s="356"/>
      <c r="P66" s="403"/>
      <c r="Q66" s="401"/>
      <c r="R66" s="325"/>
      <c r="S66" s="325"/>
      <c r="T66" s="325"/>
      <c r="U66" s="325"/>
    </row>
    <row r="67" spans="1:21" ht="15.75" x14ac:dyDescent="0.25">
      <c r="A67" s="724"/>
      <c r="B67" s="414"/>
      <c r="C67" s="325"/>
      <c r="D67" s="325"/>
      <c r="E67" s="325"/>
      <c r="F67" s="325"/>
      <c r="G67" s="325"/>
      <c r="H67" s="355"/>
      <c r="I67" s="356"/>
      <c r="J67" s="355"/>
      <c r="K67" s="356"/>
      <c r="L67" s="355"/>
      <c r="M67" s="356"/>
      <c r="N67" s="355"/>
      <c r="O67" s="356"/>
      <c r="P67" s="403"/>
      <c r="Q67" s="401"/>
      <c r="R67" s="325"/>
      <c r="S67" s="325"/>
      <c r="T67" s="325"/>
      <c r="U67" s="325"/>
    </row>
    <row r="68" spans="1:21" ht="15.75" x14ac:dyDescent="0.25">
      <c r="A68" s="724"/>
      <c r="B68" s="414"/>
      <c r="C68" s="325"/>
      <c r="D68" s="325"/>
      <c r="E68" s="325"/>
      <c r="F68" s="325"/>
      <c r="G68" s="325"/>
      <c r="H68" s="355"/>
      <c r="I68" s="356"/>
      <c r="J68" s="355"/>
      <c r="K68" s="356"/>
      <c r="L68" s="355"/>
      <c r="M68" s="356"/>
      <c r="N68" s="355"/>
      <c r="O68" s="356"/>
      <c r="P68" s="403">
        <f t="shared" si="3"/>
        <v>0</v>
      </c>
      <c r="Q68" s="401">
        <f t="shared" si="3"/>
        <v>0</v>
      </c>
      <c r="R68" s="325"/>
      <c r="S68" s="325"/>
      <c r="T68" s="325"/>
      <c r="U68" s="325"/>
    </row>
    <row r="69" spans="1:21" ht="15.75" x14ac:dyDescent="0.25">
      <c r="A69" s="725"/>
      <c r="B69" s="414"/>
      <c r="C69" s="325"/>
      <c r="D69" s="325"/>
      <c r="E69" s="325"/>
      <c r="F69" s="325"/>
      <c r="G69" s="325"/>
      <c r="H69" s="325"/>
      <c r="I69" s="356"/>
      <c r="J69" s="325"/>
      <c r="K69" s="356"/>
      <c r="L69" s="325"/>
      <c r="M69" s="356"/>
      <c r="N69" s="325"/>
      <c r="O69" s="356"/>
      <c r="P69" s="403">
        <f t="shared" si="3"/>
        <v>0</v>
      </c>
      <c r="Q69" s="401">
        <f t="shared" si="3"/>
        <v>0</v>
      </c>
      <c r="R69" s="71"/>
      <c r="S69" s="325"/>
      <c r="T69" s="325"/>
      <c r="U69" s="325"/>
    </row>
    <row r="70" spans="1:21" ht="15.75" x14ac:dyDescent="0.25">
      <c r="A70" s="294"/>
      <c r="B70" s="295"/>
      <c r="C70" s="295"/>
      <c r="D70" s="295"/>
      <c r="E70" s="294" t="s">
        <v>1473</v>
      </c>
      <c r="F70" s="295"/>
      <c r="G70" s="296"/>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4"/>
    </row>
    <row r="78" spans="1:21" x14ac:dyDescent="0.25">
      <c r="C78" s="464"/>
    </row>
    <row r="79" spans="1:21" x14ac:dyDescent="0.25">
      <c r="C79" s="464"/>
    </row>
    <row r="80" spans="1:21" x14ac:dyDescent="0.25">
      <c r="C80" s="464"/>
    </row>
    <row r="81" spans="3:3" x14ac:dyDescent="0.25">
      <c r="C81" s="464"/>
    </row>
    <row r="82" spans="3:3" x14ac:dyDescent="0.25">
      <c r="C82" s="464"/>
    </row>
    <row r="83" spans="3:3" x14ac:dyDescent="0.25">
      <c r="C83" s="464"/>
    </row>
    <row r="84" spans="3:3" x14ac:dyDescent="0.25">
      <c r="C84" s="464"/>
    </row>
    <row r="85" spans="3:3" x14ac:dyDescent="0.25">
      <c r="C85" s="464"/>
    </row>
    <row r="86" spans="3:3" x14ac:dyDescent="0.25">
      <c r="C86" s="464"/>
    </row>
    <row r="87" spans="3:3" x14ac:dyDescent="0.25">
      <c r="C87" s="464"/>
    </row>
    <row r="88" spans="3:3" x14ac:dyDescent="0.25">
      <c r="C88" s="464"/>
    </row>
    <row r="89" spans="3:3" x14ac:dyDescent="0.25">
      <c r="C89" s="464"/>
    </row>
    <row r="90" spans="3:3" x14ac:dyDescent="0.25">
      <c r="C90" s="464"/>
    </row>
    <row r="91" spans="3:3" x14ac:dyDescent="0.25">
      <c r="C91" s="464"/>
    </row>
    <row r="92" spans="3:3" x14ac:dyDescent="0.25">
      <c r="C92" s="464"/>
    </row>
    <row r="93" spans="3:3" x14ac:dyDescent="0.25">
      <c r="C93" s="464"/>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J1" zoomScaleNormal="100" workbookViewId="0">
      <pane ySplit="9" topLeftCell="A12" activePane="bottomLeft" state="frozen"/>
      <selection activeCell="K7" sqref="K7"/>
      <selection pane="bottomLeft" activeCell="S12" sqref="S12"/>
    </sheetView>
  </sheetViews>
  <sheetFormatPr baseColWidth="10" defaultRowHeight="15" x14ac:dyDescent="0.25"/>
  <cols>
    <col min="1" max="1" width="35.7109375" style="464" customWidth="1"/>
    <col min="2" max="2" width="35.85546875" style="464" customWidth="1"/>
    <col min="3" max="7" width="27.42578125" style="464" customWidth="1"/>
    <col min="8" max="8" width="15.28515625" style="464" customWidth="1"/>
    <col min="9" max="9" width="11.42578125" style="233"/>
    <col min="10" max="10" width="15.28515625" style="464" customWidth="1"/>
    <col min="11" max="11" width="18.85546875" style="233" customWidth="1"/>
    <col min="12" max="12" width="11.42578125" style="464"/>
    <col min="13" max="13" width="11.42578125" style="233"/>
    <col min="14" max="14" width="11.42578125" style="464"/>
    <col min="15" max="15" width="11.42578125" style="233"/>
    <col min="16" max="16" width="15.28515625" style="464" customWidth="1"/>
    <col min="17" max="17" width="18.28515625" style="233" customWidth="1"/>
    <col min="18" max="20" width="14.140625" style="464" customWidth="1"/>
    <col min="21" max="21" width="17" style="464" customWidth="1"/>
    <col min="22" max="16384" width="11.42578125" style="464"/>
  </cols>
  <sheetData>
    <row r="1" spans="1:42" ht="21" x14ac:dyDescent="0.25">
      <c r="A1" s="409"/>
      <c r="B1" s="409"/>
      <c r="C1" s="409"/>
      <c r="D1" s="409"/>
      <c r="E1" s="409"/>
      <c r="F1" s="791" t="s">
        <v>1504</v>
      </c>
      <c r="G1" s="791"/>
      <c r="H1" s="791"/>
      <c r="I1" s="791"/>
      <c r="J1" s="791"/>
      <c r="K1" s="791"/>
      <c r="L1" s="791"/>
      <c r="M1" s="791"/>
      <c r="N1" s="410"/>
      <c r="O1" s="410"/>
      <c r="P1" s="513" t="s">
        <v>1666</v>
      </c>
      <c r="Q1" s="513" t="s">
        <v>1667</v>
      </c>
      <c r="R1" s="513" t="s">
        <v>1668</v>
      </c>
      <c r="S1" s="513" t="s">
        <v>1669</v>
      </c>
      <c r="T1" s="513" t="s">
        <v>1670</v>
      </c>
      <c r="U1" s="513" t="s">
        <v>1671</v>
      </c>
      <c r="V1" s="513" t="s">
        <v>1672</v>
      </c>
      <c r="W1" s="513" t="s">
        <v>1673</v>
      </c>
      <c r="X1" s="513" t="s">
        <v>1674</v>
      </c>
      <c r="Y1" s="513" t="s">
        <v>1675</v>
      </c>
      <c r="Z1" s="513" t="s">
        <v>1676</v>
      </c>
      <c r="AA1" s="513" t="s">
        <v>1677</v>
      </c>
      <c r="AB1" s="513" t="s">
        <v>1678</v>
      </c>
      <c r="AC1" s="513" t="s">
        <v>1679</v>
      </c>
      <c r="AD1" s="513" t="s">
        <v>1680</v>
      </c>
      <c r="AE1" s="517"/>
      <c r="AF1" s="517"/>
      <c r="AG1" s="517"/>
      <c r="AH1" s="517"/>
      <c r="AI1" s="517"/>
      <c r="AJ1" s="517"/>
      <c r="AK1" s="517"/>
      <c r="AL1" s="409"/>
      <c r="AM1" s="409"/>
      <c r="AN1" s="409"/>
      <c r="AO1" s="409"/>
      <c r="AP1" s="409"/>
    </row>
    <row r="2" spans="1:42" ht="18.75" x14ac:dyDescent="0.25">
      <c r="A2" s="408" t="s">
        <v>1354</v>
      </c>
      <c r="B2" s="409"/>
      <c r="C2" s="409"/>
      <c r="D2" s="409"/>
      <c r="E2" s="409"/>
      <c r="F2" s="409"/>
      <c r="G2" s="409"/>
      <c r="H2" s="410"/>
      <c r="I2" s="411"/>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1500</v>
      </c>
      <c r="B3" s="409"/>
      <c r="C3" s="409"/>
      <c r="D3" s="409"/>
      <c r="E3" s="409"/>
      <c r="F3" s="409"/>
      <c r="G3" s="409"/>
      <c r="H3" s="410"/>
      <c r="I3" s="411"/>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1501</v>
      </c>
      <c r="H4" s="410"/>
      <c r="I4" s="411"/>
      <c r="J4" s="410"/>
      <c r="K4" s="410"/>
      <c r="L4" s="410"/>
      <c r="M4" s="410"/>
      <c r="N4" s="410"/>
      <c r="O4" s="410"/>
      <c r="P4" s="410"/>
      <c r="Q4" s="410"/>
      <c r="R4" s="410"/>
      <c r="S4" s="410"/>
      <c r="T4" s="410"/>
      <c r="U4" s="410"/>
      <c r="V4" s="410"/>
      <c r="W4" s="410"/>
      <c r="X4" s="410"/>
      <c r="Y4" s="410"/>
      <c r="Z4" s="410"/>
      <c r="AA4" s="410"/>
    </row>
    <row r="5" spans="1:42" s="409" customFormat="1" ht="18.75" x14ac:dyDescent="0.25">
      <c r="A5" s="408" t="s">
        <v>1502</v>
      </c>
      <c r="H5" s="410"/>
      <c r="I5" s="411"/>
      <c r="J5" s="410"/>
      <c r="K5" s="410"/>
      <c r="L5" s="410"/>
      <c r="M5" s="410"/>
      <c r="N5" s="410"/>
      <c r="O5" s="410"/>
      <c r="P5" s="410"/>
      <c r="Q5" s="410"/>
      <c r="R5" s="410"/>
      <c r="S5" s="410"/>
      <c r="T5" s="410"/>
      <c r="U5" s="410"/>
      <c r="V5" s="410"/>
      <c r="W5" s="410"/>
      <c r="X5" s="410"/>
      <c r="Y5" s="410"/>
      <c r="Z5" s="410"/>
      <c r="AA5" s="410"/>
    </row>
    <row r="6" spans="1:42" s="409" customFormat="1" x14ac:dyDescent="0.25">
      <c r="A6" s="413" t="s">
        <v>1503</v>
      </c>
      <c r="B6" s="413"/>
      <c r="C6" s="413"/>
      <c r="D6" s="413"/>
      <c r="E6" s="413"/>
      <c r="F6" s="413"/>
      <c r="G6" s="413"/>
      <c r="H6" s="413"/>
      <c r="I6" s="413"/>
      <c r="J6" s="413"/>
      <c r="K6" s="413"/>
      <c r="L6" s="413"/>
      <c r="M6" s="413"/>
      <c r="N6" s="413"/>
      <c r="O6" s="413"/>
      <c r="P6" s="413"/>
      <c r="Q6" s="413"/>
      <c r="R6" s="413"/>
      <c r="S6" s="413"/>
      <c r="T6" s="413"/>
      <c r="U6" s="413"/>
    </row>
    <row r="7" spans="1:42" ht="15" customHeight="1" x14ac:dyDescent="0.25">
      <c r="A7" s="720" t="s">
        <v>96</v>
      </c>
      <c r="B7" s="722" t="s">
        <v>110</v>
      </c>
      <c r="C7" s="732" t="s">
        <v>1530</v>
      </c>
      <c r="D7" s="732" t="s">
        <v>1531</v>
      </c>
      <c r="E7" s="732" t="s">
        <v>86</v>
      </c>
      <c r="F7" s="732" t="s">
        <v>391</v>
      </c>
      <c r="G7" s="732" t="s">
        <v>87</v>
      </c>
      <c r="H7" s="735" t="s">
        <v>99</v>
      </c>
      <c r="I7" s="737"/>
      <c r="J7" s="737"/>
      <c r="K7" s="737"/>
      <c r="L7" s="737"/>
      <c r="M7" s="737"/>
      <c r="N7" s="737"/>
      <c r="O7" s="736"/>
      <c r="P7" s="741" t="s">
        <v>100</v>
      </c>
      <c r="Q7" s="742"/>
      <c r="R7" s="722" t="s">
        <v>102</v>
      </c>
      <c r="S7" s="722" t="s">
        <v>109</v>
      </c>
      <c r="T7" s="722" t="s">
        <v>108</v>
      </c>
      <c r="U7" s="738" t="s">
        <v>88</v>
      </c>
    </row>
    <row r="8" spans="1:42" ht="15" customHeight="1" x14ac:dyDescent="0.25">
      <c r="A8" s="720"/>
      <c r="B8" s="720"/>
      <c r="C8" s="733"/>
      <c r="D8" s="733"/>
      <c r="E8" s="733"/>
      <c r="F8" s="733"/>
      <c r="G8" s="733"/>
      <c r="H8" s="735" t="s">
        <v>103</v>
      </c>
      <c r="I8" s="736"/>
      <c r="J8" s="735" t="s">
        <v>104</v>
      </c>
      <c r="K8" s="736"/>
      <c r="L8" s="735" t="s">
        <v>105</v>
      </c>
      <c r="M8" s="736"/>
      <c r="N8" s="735" t="s">
        <v>106</v>
      </c>
      <c r="O8" s="736"/>
      <c r="P8" s="743"/>
      <c r="Q8" s="744"/>
      <c r="R8" s="720"/>
      <c r="S8" s="720"/>
      <c r="T8" s="720"/>
      <c r="U8" s="739"/>
    </row>
    <row r="9" spans="1:42" ht="25.5" x14ac:dyDescent="0.25">
      <c r="A9" s="721"/>
      <c r="B9" s="721"/>
      <c r="C9" s="734"/>
      <c r="D9" s="734"/>
      <c r="E9" s="734"/>
      <c r="F9" s="734"/>
      <c r="G9" s="734"/>
      <c r="H9" s="440" t="s">
        <v>107</v>
      </c>
      <c r="I9" s="440" t="s">
        <v>12</v>
      </c>
      <c r="J9" s="440" t="s">
        <v>107</v>
      </c>
      <c r="K9" s="440" t="s">
        <v>12</v>
      </c>
      <c r="L9" s="440" t="s">
        <v>107</v>
      </c>
      <c r="M9" s="440" t="s">
        <v>12</v>
      </c>
      <c r="N9" s="440" t="s">
        <v>107</v>
      </c>
      <c r="O9" s="440" t="s">
        <v>12</v>
      </c>
      <c r="P9" s="440" t="s">
        <v>107</v>
      </c>
      <c r="Q9" s="440" t="s">
        <v>12</v>
      </c>
      <c r="R9" s="721"/>
      <c r="S9" s="721"/>
      <c r="T9" s="721"/>
      <c r="U9" s="740"/>
    </row>
    <row r="10" spans="1:42" ht="15.75" x14ac:dyDescent="0.25">
      <c r="A10" s="503"/>
      <c r="B10" s="504"/>
      <c r="C10" s="443"/>
      <c r="D10" s="443"/>
      <c r="E10" s="443"/>
      <c r="F10" s="444"/>
      <c r="G10" s="443"/>
      <c r="H10" s="445"/>
      <c r="I10" s="445"/>
      <c r="J10" s="445"/>
      <c r="K10" s="445"/>
      <c r="L10" s="445"/>
      <c r="M10" s="445"/>
      <c r="N10" s="445"/>
      <c r="O10" s="445"/>
      <c r="P10" s="445"/>
      <c r="Q10" s="445"/>
      <c r="R10" s="446"/>
      <c r="S10" s="446"/>
      <c r="T10" s="446"/>
      <c r="U10" s="447"/>
    </row>
    <row r="11" spans="1:42" s="502" customFormat="1" ht="220.5" x14ac:dyDescent="0.25">
      <c r="A11" s="730" t="s">
        <v>1500</v>
      </c>
      <c r="B11" s="792" t="s">
        <v>1528</v>
      </c>
      <c r="C11" s="497" t="s">
        <v>1666</v>
      </c>
      <c r="D11" s="271" t="s">
        <v>2023</v>
      </c>
      <c r="E11" s="599" t="s">
        <v>2024</v>
      </c>
      <c r="F11" s="600" t="s">
        <v>2025</v>
      </c>
      <c r="G11" s="601" t="s">
        <v>2022</v>
      </c>
      <c r="H11" s="597">
        <v>1</v>
      </c>
      <c r="I11" s="598">
        <f>+'1. TALLERES SEMINARIOS'!D49</f>
        <v>7175</v>
      </c>
      <c r="J11" s="499"/>
      <c r="K11" s="499"/>
      <c r="L11" s="499"/>
      <c r="M11" s="499"/>
      <c r="N11" s="499"/>
      <c r="O11" s="499"/>
      <c r="P11" s="403">
        <f t="shared" ref="P11:P17" si="0">H11+J11+L11+N11</f>
        <v>1</v>
      </c>
      <c r="Q11" s="401">
        <f t="shared" ref="Q11:Q17" si="1">I11+K11+M11+O11</f>
        <v>7175</v>
      </c>
      <c r="R11" s="531" t="s">
        <v>2026</v>
      </c>
      <c r="S11" s="249" t="s">
        <v>2027</v>
      </c>
      <c r="T11" s="500" t="s">
        <v>1773</v>
      </c>
      <c r="U11" s="501" t="s">
        <v>2014</v>
      </c>
    </row>
    <row r="12" spans="1:42" s="502" customFormat="1" ht="157.5" x14ac:dyDescent="0.25">
      <c r="A12" s="730"/>
      <c r="B12" s="793"/>
      <c r="C12" s="497"/>
      <c r="D12" s="271" t="s">
        <v>2228</v>
      </c>
      <c r="E12" s="599" t="s">
        <v>2024</v>
      </c>
      <c r="F12" s="600" t="s">
        <v>2224</v>
      </c>
      <c r="G12" s="625" t="s">
        <v>2223</v>
      </c>
      <c r="H12" s="499"/>
      <c r="I12" s="499"/>
      <c r="J12" s="499"/>
      <c r="K12" s="499"/>
      <c r="L12" s="597">
        <v>1</v>
      </c>
      <c r="M12" s="598">
        <f>+'1. TALLERES SEMINARIOS'!D62</f>
        <v>14250</v>
      </c>
      <c r="N12" s="499"/>
      <c r="O12" s="499"/>
      <c r="P12" s="403">
        <f t="shared" si="0"/>
        <v>1</v>
      </c>
      <c r="Q12" s="401">
        <f t="shared" si="1"/>
        <v>14250</v>
      </c>
      <c r="R12" s="531" t="s">
        <v>2225</v>
      </c>
      <c r="S12" s="249" t="s">
        <v>2027</v>
      </c>
      <c r="T12" s="249" t="s">
        <v>2226</v>
      </c>
      <c r="U12" s="249" t="s">
        <v>2227</v>
      </c>
    </row>
    <row r="13" spans="1:42" s="502" customFormat="1" ht="15.75" x14ac:dyDescent="0.25">
      <c r="A13" s="730"/>
      <c r="B13" s="793"/>
      <c r="C13" s="497"/>
      <c r="D13" s="497"/>
      <c r="E13" s="497"/>
      <c r="F13" s="498"/>
      <c r="G13" s="497"/>
      <c r="H13" s="499"/>
      <c r="I13" s="499"/>
      <c r="J13" s="499"/>
      <c r="K13" s="499"/>
      <c r="L13" s="499"/>
      <c r="M13" s="499"/>
      <c r="N13" s="499"/>
      <c r="O13" s="499"/>
      <c r="P13" s="403">
        <f t="shared" si="0"/>
        <v>0</v>
      </c>
      <c r="Q13" s="401">
        <f t="shared" si="1"/>
        <v>0</v>
      </c>
      <c r="R13" s="500"/>
      <c r="S13" s="500"/>
      <c r="T13" s="500"/>
      <c r="U13" s="501"/>
    </row>
    <row r="14" spans="1:42" s="502" customFormat="1" ht="15.75" x14ac:dyDescent="0.25">
      <c r="A14" s="730"/>
      <c r="B14" s="793"/>
      <c r="C14" s="497"/>
      <c r="D14" s="497"/>
      <c r="E14" s="497"/>
      <c r="F14" s="498"/>
      <c r="G14" s="497"/>
      <c r="H14" s="499"/>
      <c r="I14" s="499"/>
      <c r="J14" s="499"/>
      <c r="K14" s="499"/>
      <c r="L14" s="499"/>
      <c r="M14" s="499"/>
      <c r="N14" s="499"/>
      <c r="O14" s="499"/>
      <c r="P14" s="403">
        <f t="shared" si="0"/>
        <v>0</v>
      </c>
      <c r="Q14" s="401">
        <f t="shared" si="1"/>
        <v>0</v>
      </c>
      <c r="R14" s="500"/>
      <c r="S14" s="500"/>
      <c r="T14" s="500"/>
      <c r="U14" s="501"/>
    </row>
    <row r="15" spans="1:42" s="502" customFormat="1" ht="15.75" x14ac:dyDescent="0.25">
      <c r="A15" s="730"/>
      <c r="B15" s="793"/>
      <c r="C15" s="497"/>
      <c r="D15" s="497"/>
      <c r="E15" s="497"/>
      <c r="F15" s="498"/>
      <c r="G15" s="497"/>
      <c r="H15" s="499"/>
      <c r="I15" s="499"/>
      <c r="J15" s="499"/>
      <c r="K15" s="499"/>
      <c r="L15" s="499"/>
      <c r="M15" s="499"/>
      <c r="N15" s="499"/>
      <c r="O15" s="499"/>
      <c r="P15" s="403">
        <f t="shared" si="0"/>
        <v>0</v>
      </c>
      <c r="Q15" s="401">
        <f t="shared" si="1"/>
        <v>0</v>
      </c>
      <c r="R15" s="500"/>
      <c r="S15" s="500"/>
      <c r="T15" s="500"/>
      <c r="U15" s="501"/>
    </row>
    <row r="16" spans="1:42" s="502" customFormat="1" ht="15.75" x14ac:dyDescent="0.25">
      <c r="A16" s="730"/>
      <c r="B16" s="793"/>
      <c r="C16" s="497"/>
      <c r="D16" s="497"/>
      <c r="E16" s="497"/>
      <c r="F16" s="498"/>
      <c r="G16" s="497"/>
      <c r="H16" s="499"/>
      <c r="I16" s="499"/>
      <c r="J16" s="499"/>
      <c r="K16" s="499"/>
      <c r="L16" s="499"/>
      <c r="M16" s="499"/>
      <c r="N16" s="499"/>
      <c r="O16" s="499"/>
      <c r="P16" s="403">
        <f t="shared" si="0"/>
        <v>0</v>
      </c>
      <c r="Q16" s="401">
        <f t="shared" si="1"/>
        <v>0</v>
      </c>
      <c r="R16" s="500"/>
      <c r="S16" s="500"/>
      <c r="T16" s="500"/>
      <c r="U16" s="501"/>
    </row>
    <row r="17" spans="1:21" s="502" customFormat="1" ht="15.75" hidden="1" x14ac:dyDescent="0.25">
      <c r="A17" s="730"/>
      <c r="B17" s="794"/>
      <c r="C17" s="497"/>
      <c r="D17" s="497"/>
      <c r="E17" s="497"/>
      <c r="F17" s="498"/>
      <c r="G17" s="497"/>
      <c r="H17" s="499"/>
      <c r="I17" s="499"/>
      <c r="J17" s="499"/>
      <c r="K17" s="499"/>
      <c r="L17" s="499"/>
      <c r="M17" s="499"/>
      <c r="N17" s="499"/>
      <c r="O17" s="499"/>
      <c r="P17" s="403">
        <f t="shared" si="0"/>
        <v>0</v>
      </c>
      <c r="Q17" s="401">
        <f t="shared" si="1"/>
        <v>0</v>
      </c>
      <c r="R17" s="500"/>
      <c r="S17" s="500"/>
      <c r="T17" s="500"/>
      <c r="U17" s="501"/>
    </row>
    <row r="18" spans="1:21" ht="15.75" customHeight="1" x14ac:dyDescent="0.25">
      <c r="A18" s="730"/>
      <c r="B18" s="723" t="s">
        <v>1514</v>
      </c>
      <c r="C18" s="489"/>
      <c r="D18" s="489"/>
      <c r="E18" s="489"/>
      <c r="F18" s="489"/>
      <c r="G18" s="361"/>
      <c r="H18" s="490"/>
      <c r="I18" s="491"/>
      <c r="J18" s="490"/>
      <c r="K18" s="491"/>
      <c r="L18" s="490"/>
      <c r="M18" s="491"/>
      <c r="N18" s="490"/>
      <c r="O18" s="491"/>
      <c r="P18" s="403">
        <f t="shared" ref="P18:Q22" si="2">H18+J18+L18+N18</f>
        <v>0</v>
      </c>
      <c r="Q18" s="401">
        <f t="shared" si="2"/>
        <v>0</v>
      </c>
      <c r="R18" s="361"/>
      <c r="S18" s="361"/>
      <c r="T18" s="361"/>
      <c r="U18" s="361"/>
    </row>
    <row r="19" spans="1:21" ht="15.75" x14ac:dyDescent="0.25">
      <c r="A19" s="730"/>
      <c r="B19" s="724"/>
      <c r="C19" s="489"/>
      <c r="D19" s="489"/>
      <c r="E19" s="489"/>
      <c r="F19" s="489"/>
      <c r="G19" s="361"/>
      <c r="H19" s="490"/>
      <c r="I19" s="491"/>
      <c r="J19" s="490"/>
      <c r="K19" s="491"/>
      <c r="L19" s="490"/>
      <c r="M19" s="491"/>
      <c r="N19" s="490"/>
      <c r="O19" s="491"/>
      <c r="P19" s="403">
        <f t="shared" si="2"/>
        <v>0</v>
      </c>
      <c r="Q19" s="401">
        <f t="shared" si="2"/>
        <v>0</v>
      </c>
      <c r="R19" s="361"/>
      <c r="S19" s="361"/>
      <c r="T19" s="361"/>
      <c r="U19" s="361"/>
    </row>
    <row r="20" spans="1:21" ht="15.75" x14ac:dyDescent="0.25">
      <c r="A20" s="730"/>
      <c r="B20" s="724"/>
      <c r="C20" s="489"/>
      <c r="D20" s="489"/>
      <c r="E20" s="489"/>
      <c r="F20" s="489"/>
      <c r="G20" s="361"/>
      <c r="H20" s="490"/>
      <c r="I20" s="491"/>
      <c r="J20" s="490"/>
      <c r="K20" s="491"/>
      <c r="L20" s="490"/>
      <c r="M20" s="491"/>
      <c r="N20" s="490"/>
      <c r="O20" s="491"/>
      <c r="P20" s="403">
        <f t="shared" si="2"/>
        <v>0</v>
      </c>
      <c r="Q20" s="401">
        <f t="shared" si="2"/>
        <v>0</v>
      </c>
      <c r="R20" s="361"/>
      <c r="S20" s="361"/>
      <c r="T20" s="361"/>
      <c r="U20" s="361"/>
    </row>
    <row r="21" spans="1:21" ht="15.75" x14ac:dyDescent="0.25">
      <c r="A21" s="730"/>
      <c r="B21" s="724"/>
      <c r="C21" s="489"/>
      <c r="D21" s="489"/>
      <c r="E21" s="489"/>
      <c r="F21" s="489"/>
      <c r="G21" s="361"/>
      <c r="H21" s="490"/>
      <c r="I21" s="491"/>
      <c r="J21" s="490"/>
      <c r="K21" s="491"/>
      <c r="L21" s="490"/>
      <c r="M21" s="491"/>
      <c r="N21" s="490"/>
      <c r="O21" s="491"/>
      <c r="P21" s="403">
        <f t="shared" si="2"/>
        <v>0</v>
      </c>
      <c r="Q21" s="401">
        <f t="shared" si="2"/>
        <v>0</v>
      </c>
      <c r="R21" s="361"/>
      <c r="S21" s="361"/>
      <c r="T21" s="361"/>
      <c r="U21" s="361"/>
    </row>
    <row r="22" spans="1:21" ht="15.75" x14ac:dyDescent="0.25">
      <c r="A22" s="730"/>
      <c r="B22" s="723" t="s">
        <v>1515</v>
      </c>
      <c r="C22" s="489"/>
      <c r="D22" s="489"/>
      <c r="E22" s="489"/>
      <c r="F22" s="489"/>
      <c r="G22" s="361"/>
      <c r="H22" s="490"/>
      <c r="I22" s="491"/>
      <c r="J22" s="490"/>
      <c r="K22" s="491"/>
      <c r="L22" s="490"/>
      <c r="M22" s="491"/>
      <c r="N22" s="490"/>
      <c r="O22" s="491"/>
      <c r="P22" s="403">
        <f t="shared" si="2"/>
        <v>0</v>
      </c>
      <c r="Q22" s="401">
        <f t="shared" si="2"/>
        <v>0</v>
      </c>
      <c r="R22" s="361"/>
      <c r="S22" s="361"/>
      <c r="T22" s="361"/>
      <c r="U22" s="361"/>
    </row>
    <row r="23" spans="1:21" ht="15.75" x14ac:dyDescent="0.25">
      <c r="A23" s="730"/>
      <c r="B23" s="724"/>
      <c r="C23" s="489"/>
      <c r="D23" s="489"/>
      <c r="E23" s="489"/>
      <c r="F23" s="489"/>
      <c r="G23" s="361"/>
      <c r="H23" s="490"/>
      <c r="I23" s="491"/>
      <c r="J23" s="490"/>
      <c r="K23" s="491"/>
      <c r="L23" s="490"/>
      <c r="M23" s="491"/>
      <c r="N23" s="490"/>
      <c r="O23" s="491"/>
      <c r="P23" s="403">
        <f t="shared" ref="P23:P72" si="3">H23+J23+L23+N23</f>
        <v>0</v>
      </c>
      <c r="Q23" s="401">
        <f t="shared" ref="Q23:Q72" si="4">I23+K23+M23+O23</f>
        <v>0</v>
      </c>
      <c r="R23" s="361"/>
      <c r="S23" s="361"/>
      <c r="T23" s="361"/>
      <c r="U23" s="361"/>
    </row>
    <row r="24" spans="1:21" ht="15.75" x14ac:dyDescent="0.25">
      <c r="A24" s="730"/>
      <c r="B24" s="724"/>
      <c r="C24" s="489"/>
      <c r="D24" s="489"/>
      <c r="E24" s="489"/>
      <c r="F24" s="489"/>
      <c r="G24" s="361"/>
      <c r="H24" s="490"/>
      <c r="I24" s="491"/>
      <c r="J24" s="490"/>
      <c r="K24" s="491"/>
      <c r="L24" s="490"/>
      <c r="M24" s="491"/>
      <c r="N24" s="490"/>
      <c r="O24" s="491"/>
      <c r="P24" s="403">
        <f t="shared" si="3"/>
        <v>0</v>
      </c>
      <c r="Q24" s="401">
        <f t="shared" si="4"/>
        <v>0</v>
      </c>
      <c r="R24" s="361"/>
      <c r="S24" s="361"/>
      <c r="T24" s="361"/>
      <c r="U24" s="361"/>
    </row>
    <row r="25" spans="1:21" ht="15.75" x14ac:dyDescent="0.25">
      <c r="A25" s="730"/>
      <c r="B25" s="725"/>
      <c r="C25" s="489"/>
      <c r="D25" s="489"/>
      <c r="E25" s="489"/>
      <c r="F25" s="489"/>
      <c r="G25" s="361"/>
      <c r="H25" s="490"/>
      <c r="I25" s="491"/>
      <c r="J25" s="490"/>
      <c r="K25" s="491"/>
      <c r="L25" s="490"/>
      <c r="M25" s="491"/>
      <c r="N25" s="490"/>
      <c r="O25" s="491"/>
      <c r="P25" s="403">
        <f t="shared" si="3"/>
        <v>0</v>
      </c>
      <c r="Q25" s="401">
        <f t="shared" si="4"/>
        <v>0</v>
      </c>
      <c r="R25" s="361"/>
      <c r="S25" s="361"/>
      <c r="T25" s="361"/>
      <c r="U25" s="361"/>
    </row>
    <row r="26" spans="1:21" ht="15.75" x14ac:dyDescent="0.25">
      <c r="A26" s="730"/>
      <c r="B26" s="723" t="s">
        <v>1516</v>
      </c>
      <c r="C26" s="489"/>
      <c r="D26" s="489"/>
      <c r="E26" s="489"/>
      <c r="F26" s="489"/>
      <c r="G26" s="361"/>
      <c r="H26" s="490"/>
      <c r="I26" s="491"/>
      <c r="J26" s="490"/>
      <c r="K26" s="491"/>
      <c r="L26" s="490"/>
      <c r="M26" s="491"/>
      <c r="N26" s="490"/>
      <c r="O26" s="491"/>
      <c r="P26" s="403">
        <f t="shared" si="3"/>
        <v>0</v>
      </c>
      <c r="Q26" s="401">
        <f t="shared" si="4"/>
        <v>0</v>
      </c>
      <c r="R26" s="361"/>
      <c r="S26" s="361"/>
      <c r="T26" s="361"/>
      <c r="U26" s="361"/>
    </row>
    <row r="27" spans="1:21" ht="15.75" x14ac:dyDescent="0.25">
      <c r="A27" s="730"/>
      <c r="B27" s="724"/>
      <c r="C27" s="489"/>
      <c r="D27" s="489"/>
      <c r="E27" s="489"/>
      <c r="F27" s="489"/>
      <c r="G27" s="361"/>
      <c r="H27" s="490"/>
      <c r="I27" s="491"/>
      <c r="J27" s="490"/>
      <c r="K27" s="491"/>
      <c r="L27" s="490"/>
      <c r="M27" s="491"/>
      <c r="N27" s="490"/>
      <c r="O27" s="491"/>
      <c r="P27" s="403">
        <f t="shared" si="3"/>
        <v>0</v>
      </c>
      <c r="Q27" s="401">
        <f t="shared" si="4"/>
        <v>0</v>
      </c>
      <c r="R27" s="361"/>
      <c r="S27" s="361"/>
      <c r="T27" s="361"/>
      <c r="U27" s="361"/>
    </row>
    <row r="28" spans="1:21" ht="15.75" x14ac:dyDescent="0.25">
      <c r="A28" s="730"/>
      <c r="B28" s="724"/>
      <c r="C28" s="489"/>
      <c r="D28" s="489"/>
      <c r="E28" s="489"/>
      <c r="F28" s="489"/>
      <c r="G28" s="361"/>
      <c r="H28" s="490"/>
      <c r="I28" s="491"/>
      <c r="J28" s="490"/>
      <c r="K28" s="491"/>
      <c r="L28" s="490"/>
      <c r="M28" s="491"/>
      <c r="N28" s="490"/>
      <c r="O28" s="491"/>
      <c r="P28" s="403">
        <f t="shared" si="3"/>
        <v>0</v>
      </c>
      <c r="Q28" s="401">
        <f t="shared" si="4"/>
        <v>0</v>
      </c>
      <c r="R28" s="361"/>
      <c r="S28" s="361"/>
      <c r="T28" s="361"/>
      <c r="U28" s="361"/>
    </row>
    <row r="29" spans="1:21" ht="15.75" x14ac:dyDescent="0.25">
      <c r="A29" s="730"/>
      <c r="B29" s="725"/>
      <c r="C29" s="489"/>
      <c r="D29" s="489"/>
      <c r="E29" s="489"/>
      <c r="F29" s="489"/>
      <c r="G29" s="361"/>
      <c r="H29" s="490"/>
      <c r="I29" s="491"/>
      <c r="J29" s="490"/>
      <c r="K29" s="491"/>
      <c r="L29" s="490"/>
      <c r="M29" s="491"/>
      <c r="N29" s="490"/>
      <c r="O29" s="491"/>
      <c r="P29" s="403">
        <f t="shared" si="3"/>
        <v>0</v>
      </c>
      <c r="Q29" s="401">
        <f t="shared" si="4"/>
        <v>0</v>
      </c>
      <c r="R29" s="361"/>
      <c r="S29" s="361"/>
      <c r="T29" s="361"/>
      <c r="U29" s="361"/>
    </row>
    <row r="30" spans="1:21" ht="15.75" x14ac:dyDescent="0.25">
      <c r="A30" s="730"/>
      <c r="B30" s="788" t="s">
        <v>1517</v>
      </c>
      <c r="C30" s="489"/>
      <c r="D30" s="489"/>
      <c r="E30" s="489"/>
      <c r="F30" s="489"/>
      <c r="G30" s="361"/>
      <c r="H30" s="490"/>
      <c r="I30" s="491"/>
      <c r="J30" s="490"/>
      <c r="K30" s="491"/>
      <c r="L30" s="490"/>
      <c r="M30" s="491"/>
      <c r="N30" s="490"/>
      <c r="O30" s="491"/>
      <c r="P30" s="403">
        <f t="shared" si="3"/>
        <v>0</v>
      </c>
      <c r="Q30" s="401">
        <f t="shared" si="4"/>
        <v>0</v>
      </c>
      <c r="R30" s="361"/>
      <c r="S30" s="361"/>
      <c r="T30" s="361"/>
      <c r="U30" s="361"/>
    </row>
    <row r="31" spans="1:21" ht="15.75" x14ac:dyDescent="0.25">
      <c r="A31" s="730"/>
      <c r="B31" s="788"/>
      <c r="C31" s="489"/>
      <c r="D31" s="489"/>
      <c r="E31" s="489"/>
      <c r="F31" s="489"/>
      <c r="G31" s="361"/>
      <c r="H31" s="490"/>
      <c r="I31" s="491"/>
      <c r="J31" s="490"/>
      <c r="K31" s="491"/>
      <c r="L31" s="490"/>
      <c r="M31" s="491"/>
      <c r="N31" s="490"/>
      <c r="O31" s="491"/>
      <c r="P31" s="403">
        <f t="shared" si="3"/>
        <v>0</v>
      </c>
      <c r="Q31" s="401">
        <f t="shared" si="4"/>
        <v>0</v>
      </c>
      <c r="R31" s="361"/>
      <c r="S31" s="361"/>
      <c r="T31" s="361"/>
      <c r="U31" s="361"/>
    </row>
    <row r="32" spans="1:21" ht="15.75" x14ac:dyDescent="0.25">
      <c r="A32" s="730"/>
      <c r="B32" s="788"/>
      <c r="C32" s="489"/>
      <c r="D32" s="489"/>
      <c r="E32" s="489"/>
      <c r="F32" s="489"/>
      <c r="G32" s="361"/>
      <c r="H32" s="490"/>
      <c r="I32" s="491"/>
      <c r="J32" s="490"/>
      <c r="K32" s="491"/>
      <c r="L32" s="490"/>
      <c r="M32" s="491"/>
      <c r="N32" s="490"/>
      <c r="O32" s="491"/>
      <c r="P32" s="403">
        <f t="shared" si="3"/>
        <v>0</v>
      </c>
      <c r="Q32" s="401">
        <f t="shared" si="4"/>
        <v>0</v>
      </c>
      <c r="R32" s="361"/>
      <c r="S32" s="361"/>
      <c r="T32" s="361"/>
      <c r="U32" s="361"/>
    </row>
    <row r="33" spans="1:21" ht="15.75" x14ac:dyDescent="0.25">
      <c r="A33" s="730"/>
      <c r="B33" s="788"/>
      <c r="C33" s="489"/>
      <c r="D33" s="489"/>
      <c r="E33" s="489"/>
      <c r="F33" s="489"/>
      <c r="G33" s="361"/>
      <c r="H33" s="490"/>
      <c r="I33" s="491"/>
      <c r="J33" s="490"/>
      <c r="K33" s="491"/>
      <c r="L33" s="490"/>
      <c r="M33" s="491"/>
      <c r="N33" s="490"/>
      <c r="O33" s="491"/>
      <c r="P33" s="403">
        <f t="shared" si="3"/>
        <v>0</v>
      </c>
      <c r="Q33" s="401">
        <f t="shared" si="4"/>
        <v>0</v>
      </c>
      <c r="R33" s="361"/>
      <c r="S33" s="361"/>
      <c r="T33" s="361"/>
      <c r="U33" s="361"/>
    </row>
    <row r="34" spans="1:21" ht="15.75" x14ac:dyDescent="0.25">
      <c r="A34" s="730"/>
      <c r="B34" s="788" t="s">
        <v>1518</v>
      </c>
      <c r="C34" s="489"/>
      <c r="D34" s="489"/>
      <c r="E34" s="489"/>
      <c r="F34" s="489"/>
      <c r="G34" s="361"/>
      <c r="H34" s="490"/>
      <c r="I34" s="491"/>
      <c r="J34" s="490"/>
      <c r="K34" s="491"/>
      <c r="L34" s="490"/>
      <c r="M34" s="491"/>
      <c r="N34" s="490"/>
      <c r="O34" s="491"/>
      <c r="P34" s="403">
        <f t="shared" si="3"/>
        <v>0</v>
      </c>
      <c r="Q34" s="401">
        <f t="shared" si="4"/>
        <v>0</v>
      </c>
      <c r="R34" s="361"/>
      <c r="S34" s="361"/>
      <c r="T34" s="361"/>
      <c r="U34" s="361"/>
    </row>
    <row r="35" spans="1:21" ht="15.75" x14ac:dyDescent="0.25">
      <c r="A35" s="730"/>
      <c r="B35" s="788"/>
      <c r="C35" s="489"/>
      <c r="D35" s="489"/>
      <c r="E35" s="489"/>
      <c r="F35" s="489"/>
      <c r="G35" s="361"/>
      <c r="H35" s="490"/>
      <c r="I35" s="491"/>
      <c r="J35" s="490"/>
      <c r="K35" s="491"/>
      <c r="L35" s="490"/>
      <c r="M35" s="491"/>
      <c r="N35" s="490"/>
      <c r="O35" s="491"/>
      <c r="P35" s="403">
        <f t="shared" si="3"/>
        <v>0</v>
      </c>
      <c r="Q35" s="401">
        <f t="shared" si="4"/>
        <v>0</v>
      </c>
      <c r="R35" s="361"/>
      <c r="S35" s="361"/>
      <c r="T35" s="361"/>
      <c r="U35" s="361"/>
    </row>
    <row r="36" spans="1:21" ht="15.75" x14ac:dyDescent="0.25">
      <c r="A36" s="730"/>
      <c r="B36" s="788"/>
      <c r="C36" s="489"/>
      <c r="D36" s="489"/>
      <c r="E36" s="489"/>
      <c r="F36" s="489"/>
      <c r="G36" s="361"/>
      <c r="H36" s="490"/>
      <c r="I36" s="491"/>
      <c r="J36" s="490"/>
      <c r="K36" s="491"/>
      <c r="L36" s="490"/>
      <c r="M36" s="491"/>
      <c r="N36" s="490"/>
      <c r="O36" s="491"/>
      <c r="P36" s="403">
        <f t="shared" si="3"/>
        <v>0</v>
      </c>
      <c r="Q36" s="401">
        <f t="shared" si="4"/>
        <v>0</v>
      </c>
      <c r="R36" s="361"/>
      <c r="S36" s="361"/>
      <c r="T36" s="361"/>
      <c r="U36" s="361"/>
    </row>
    <row r="37" spans="1:21" ht="15.75" x14ac:dyDescent="0.25">
      <c r="A37" s="731"/>
      <c r="B37" s="788"/>
      <c r="C37" s="489"/>
      <c r="D37" s="489"/>
      <c r="E37" s="489"/>
      <c r="F37" s="489"/>
      <c r="G37" s="361"/>
      <c r="H37" s="490"/>
      <c r="I37" s="491"/>
      <c r="J37" s="490"/>
      <c r="K37" s="491"/>
      <c r="L37" s="490"/>
      <c r="M37" s="491"/>
      <c r="N37" s="490"/>
      <c r="O37" s="491"/>
      <c r="P37" s="403">
        <f t="shared" si="3"/>
        <v>0</v>
      </c>
      <c r="Q37" s="401">
        <f t="shared" si="4"/>
        <v>0</v>
      </c>
      <c r="R37" s="361"/>
      <c r="S37" s="361"/>
      <c r="T37" s="361"/>
      <c r="U37" s="361"/>
    </row>
    <row r="38" spans="1:21" ht="15.75" customHeight="1" x14ac:dyDescent="0.25">
      <c r="A38" s="788" t="s">
        <v>1501</v>
      </c>
      <c r="B38" s="723" t="s">
        <v>1519</v>
      </c>
      <c r="C38" s="489"/>
      <c r="D38" s="489"/>
      <c r="E38" s="489"/>
      <c r="F38" s="489"/>
      <c r="G38" s="361"/>
      <c r="H38" s="490"/>
      <c r="I38" s="491"/>
      <c r="J38" s="490"/>
      <c r="K38" s="491"/>
      <c r="L38" s="490"/>
      <c r="M38" s="491"/>
      <c r="N38" s="490"/>
      <c r="O38" s="491"/>
      <c r="P38" s="403">
        <f t="shared" si="3"/>
        <v>0</v>
      </c>
      <c r="Q38" s="401">
        <f t="shared" si="4"/>
        <v>0</v>
      </c>
      <c r="R38" s="361"/>
      <c r="S38" s="361"/>
      <c r="T38" s="361"/>
      <c r="U38" s="361"/>
    </row>
    <row r="39" spans="1:21" ht="15.75" x14ac:dyDescent="0.25">
      <c r="A39" s="788"/>
      <c r="B39" s="724"/>
      <c r="C39" s="489"/>
      <c r="D39" s="489"/>
      <c r="E39" s="489"/>
      <c r="F39" s="489"/>
      <c r="G39" s="361"/>
      <c r="H39" s="490"/>
      <c r="I39" s="491"/>
      <c r="J39" s="490"/>
      <c r="K39" s="491"/>
      <c r="L39" s="490"/>
      <c r="M39" s="491"/>
      <c r="N39" s="490"/>
      <c r="O39" s="491"/>
      <c r="P39" s="403">
        <f t="shared" si="3"/>
        <v>0</v>
      </c>
      <c r="Q39" s="401">
        <f t="shared" si="4"/>
        <v>0</v>
      </c>
      <c r="R39" s="361"/>
      <c r="S39" s="361"/>
      <c r="T39" s="361"/>
      <c r="U39" s="361"/>
    </row>
    <row r="40" spans="1:21" ht="15.75" x14ac:dyDescent="0.25">
      <c r="A40" s="788"/>
      <c r="B40" s="724"/>
      <c r="C40" s="489"/>
      <c r="D40" s="489"/>
      <c r="E40" s="489"/>
      <c r="F40" s="489"/>
      <c r="G40" s="361"/>
      <c r="H40" s="490"/>
      <c r="I40" s="491"/>
      <c r="J40" s="490"/>
      <c r="K40" s="491"/>
      <c r="L40" s="490"/>
      <c r="M40" s="491"/>
      <c r="N40" s="490"/>
      <c r="O40" s="491"/>
      <c r="P40" s="403">
        <f t="shared" si="3"/>
        <v>0</v>
      </c>
      <c r="Q40" s="401">
        <f t="shared" si="4"/>
        <v>0</v>
      </c>
      <c r="R40" s="361"/>
      <c r="S40" s="361"/>
      <c r="T40" s="361"/>
      <c r="U40" s="361"/>
    </row>
    <row r="41" spans="1:21" ht="15.75" x14ac:dyDescent="0.25">
      <c r="A41" s="788"/>
      <c r="B41" s="725"/>
      <c r="C41" s="489"/>
      <c r="D41" s="489"/>
      <c r="E41" s="489"/>
      <c r="F41" s="489"/>
      <c r="G41" s="361"/>
      <c r="H41" s="490"/>
      <c r="I41" s="491"/>
      <c r="J41" s="490"/>
      <c r="K41" s="491"/>
      <c r="L41" s="490"/>
      <c r="M41" s="491"/>
      <c r="N41" s="490"/>
      <c r="O41" s="491"/>
      <c r="P41" s="403">
        <f t="shared" si="3"/>
        <v>0</v>
      </c>
      <c r="Q41" s="401">
        <f t="shared" si="4"/>
        <v>0</v>
      </c>
      <c r="R41" s="361"/>
      <c r="S41" s="361"/>
      <c r="T41" s="361"/>
      <c r="U41" s="361"/>
    </row>
    <row r="42" spans="1:21" ht="15.75" x14ac:dyDescent="0.25">
      <c r="A42" s="788"/>
      <c r="B42" s="723" t="s">
        <v>1520</v>
      </c>
      <c r="C42" s="489"/>
      <c r="D42" s="489"/>
      <c r="E42" s="489"/>
      <c r="F42" s="489"/>
      <c r="G42" s="361"/>
      <c r="H42" s="490"/>
      <c r="I42" s="491"/>
      <c r="J42" s="490"/>
      <c r="K42" s="491"/>
      <c r="L42" s="490"/>
      <c r="M42" s="491"/>
      <c r="N42" s="490"/>
      <c r="O42" s="491"/>
      <c r="P42" s="403">
        <f t="shared" si="3"/>
        <v>0</v>
      </c>
      <c r="Q42" s="401">
        <f t="shared" si="4"/>
        <v>0</v>
      </c>
      <c r="R42" s="361"/>
      <c r="S42" s="361"/>
      <c r="T42" s="361"/>
      <c r="U42" s="361"/>
    </row>
    <row r="43" spans="1:21" ht="15.75" x14ac:dyDescent="0.25">
      <c r="A43" s="788"/>
      <c r="B43" s="724"/>
      <c r="C43" s="489"/>
      <c r="D43" s="489"/>
      <c r="E43" s="489"/>
      <c r="F43" s="489"/>
      <c r="G43" s="361"/>
      <c r="H43" s="490"/>
      <c r="I43" s="491"/>
      <c r="J43" s="490"/>
      <c r="K43" s="491"/>
      <c r="L43" s="490"/>
      <c r="M43" s="491"/>
      <c r="N43" s="490"/>
      <c r="O43" s="491"/>
      <c r="P43" s="403">
        <f t="shared" si="3"/>
        <v>0</v>
      </c>
      <c r="Q43" s="401">
        <f t="shared" si="4"/>
        <v>0</v>
      </c>
      <c r="R43" s="361"/>
      <c r="S43" s="361"/>
      <c r="T43" s="361"/>
      <c r="U43" s="361"/>
    </row>
    <row r="44" spans="1:21" ht="15.75" x14ac:dyDescent="0.25">
      <c r="A44" s="788"/>
      <c r="B44" s="724"/>
      <c r="C44" s="489"/>
      <c r="D44" s="489"/>
      <c r="E44" s="489"/>
      <c r="F44" s="489"/>
      <c r="G44" s="361"/>
      <c r="H44" s="490"/>
      <c r="I44" s="491"/>
      <c r="J44" s="490"/>
      <c r="K44" s="491"/>
      <c r="L44" s="490"/>
      <c r="M44" s="491"/>
      <c r="N44" s="490"/>
      <c r="O44" s="491"/>
      <c r="P44" s="403">
        <f t="shared" si="3"/>
        <v>0</v>
      </c>
      <c r="Q44" s="401">
        <f t="shared" si="4"/>
        <v>0</v>
      </c>
      <c r="R44" s="361"/>
      <c r="S44" s="361"/>
      <c r="T44" s="361"/>
      <c r="U44" s="361"/>
    </row>
    <row r="45" spans="1:21" ht="15.75" x14ac:dyDescent="0.25">
      <c r="A45" s="788"/>
      <c r="B45" s="725"/>
      <c r="C45" s="489"/>
      <c r="D45" s="489"/>
      <c r="E45" s="489"/>
      <c r="F45" s="489"/>
      <c r="G45" s="361"/>
      <c r="H45" s="490"/>
      <c r="I45" s="491"/>
      <c r="J45" s="490"/>
      <c r="K45" s="491"/>
      <c r="L45" s="490"/>
      <c r="M45" s="491"/>
      <c r="N45" s="490"/>
      <c r="O45" s="491"/>
      <c r="P45" s="403">
        <f t="shared" si="3"/>
        <v>0</v>
      </c>
      <c r="Q45" s="401">
        <f t="shared" si="4"/>
        <v>0</v>
      </c>
      <c r="R45" s="361"/>
      <c r="S45" s="361"/>
      <c r="T45" s="361"/>
      <c r="U45" s="361"/>
    </row>
    <row r="46" spans="1:21" ht="15.75" x14ac:dyDescent="0.25">
      <c r="A46" s="723" t="s">
        <v>1502</v>
      </c>
      <c r="B46" s="788" t="s">
        <v>1521</v>
      </c>
      <c r="C46" s="489"/>
      <c r="D46" s="489"/>
      <c r="E46" s="489"/>
      <c r="F46" s="489"/>
      <c r="G46" s="361"/>
      <c r="H46" s="490"/>
      <c r="I46" s="491"/>
      <c r="J46" s="490"/>
      <c r="K46" s="491"/>
      <c r="L46" s="490"/>
      <c r="M46" s="491"/>
      <c r="N46" s="490"/>
      <c r="O46" s="491"/>
      <c r="P46" s="403">
        <f t="shared" si="3"/>
        <v>0</v>
      </c>
      <c r="Q46" s="401">
        <f t="shared" si="4"/>
        <v>0</v>
      </c>
      <c r="R46" s="361"/>
      <c r="S46" s="361"/>
      <c r="T46" s="361"/>
      <c r="U46" s="361"/>
    </row>
    <row r="47" spans="1:21" ht="15.75" x14ac:dyDescent="0.25">
      <c r="A47" s="724"/>
      <c r="B47" s="788"/>
      <c r="C47" s="489"/>
      <c r="D47" s="489"/>
      <c r="E47" s="489"/>
      <c r="F47" s="489"/>
      <c r="G47" s="361"/>
      <c r="H47" s="490"/>
      <c r="I47" s="491"/>
      <c r="J47" s="490"/>
      <c r="K47" s="491"/>
      <c r="L47" s="490"/>
      <c r="M47" s="491"/>
      <c r="N47" s="490"/>
      <c r="O47" s="491"/>
      <c r="P47" s="403">
        <f t="shared" si="3"/>
        <v>0</v>
      </c>
      <c r="Q47" s="401">
        <f t="shared" si="4"/>
        <v>0</v>
      </c>
      <c r="R47" s="361"/>
      <c r="S47" s="361"/>
      <c r="T47" s="361"/>
      <c r="U47" s="361"/>
    </row>
    <row r="48" spans="1:21" ht="15.75" x14ac:dyDescent="0.25">
      <c r="A48" s="724"/>
      <c r="B48" s="788"/>
      <c r="C48" s="489"/>
      <c r="D48" s="489"/>
      <c r="E48" s="489"/>
      <c r="F48" s="489"/>
      <c r="G48" s="361"/>
      <c r="H48" s="490"/>
      <c r="I48" s="491"/>
      <c r="J48" s="490"/>
      <c r="K48" s="491"/>
      <c r="L48" s="490"/>
      <c r="M48" s="491"/>
      <c r="N48" s="490"/>
      <c r="O48" s="491"/>
      <c r="P48" s="403">
        <f t="shared" si="3"/>
        <v>0</v>
      </c>
      <c r="Q48" s="401">
        <f t="shared" si="4"/>
        <v>0</v>
      </c>
      <c r="R48" s="361"/>
      <c r="S48" s="361"/>
      <c r="T48" s="361"/>
      <c r="U48" s="361"/>
    </row>
    <row r="49" spans="1:21" ht="15.75" x14ac:dyDescent="0.25">
      <c r="A49" s="724"/>
      <c r="B49" s="788"/>
      <c r="C49" s="489"/>
      <c r="D49" s="489"/>
      <c r="E49" s="489"/>
      <c r="F49" s="489"/>
      <c r="G49" s="361"/>
      <c r="H49" s="490"/>
      <c r="I49" s="491"/>
      <c r="J49" s="490"/>
      <c r="K49" s="491"/>
      <c r="L49" s="490"/>
      <c r="M49" s="491"/>
      <c r="N49" s="490"/>
      <c r="O49" s="491"/>
      <c r="P49" s="403">
        <f t="shared" si="3"/>
        <v>0</v>
      </c>
      <c r="Q49" s="401">
        <f t="shared" si="4"/>
        <v>0</v>
      </c>
      <c r="R49" s="361"/>
      <c r="S49" s="361"/>
      <c r="T49" s="361"/>
      <c r="U49" s="361"/>
    </row>
    <row r="50" spans="1:21" ht="15.75" x14ac:dyDescent="0.25">
      <c r="A50" s="724"/>
      <c r="B50" s="788" t="s">
        <v>1522</v>
      </c>
      <c r="C50" s="489"/>
      <c r="D50" s="489"/>
      <c r="E50" s="489"/>
      <c r="F50" s="489"/>
      <c r="G50" s="361"/>
      <c r="H50" s="490"/>
      <c r="I50" s="491"/>
      <c r="J50" s="490"/>
      <c r="K50" s="491"/>
      <c r="L50" s="490"/>
      <c r="M50" s="491"/>
      <c r="N50" s="490"/>
      <c r="O50" s="491"/>
      <c r="P50" s="403">
        <f t="shared" si="3"/>
        <v>0</v>
      </c>
      <c r="Q50" s="401">
        <f t="shared" si="4"/>
        <v>0</v>
      </c>
      <c r="R50" s="361"/>
      <c r="S50" s="361"/>
      <c r="T50" s="361"/>
      <c r="U50" s="361"/>
    </row>
    <row r="51" spans="1:21" ht="15.75" x14ac:dyDescent="0.25">
      <c r="A51" s="724"/>
      <c r="B51" s="788"/>
      <c r="C51" s="489"/>
      <c r="D51" s="489"/>
      <c r="E51" s="489"/>
      <c r="F51" s="489"/>
      <c r="G51" s="361"/>
      <c r="H51" s="490"/>
      <c r="I51" s="491"/>
      <c r="J51" s="490"/>
      <c r="K51" s="491"/>
      <c r="L51" s="490"/>
      <c r="M51" s="491"/>
      <c r="N51" s="490"/>
      <c r="O51" s="491"/>
      <c r="P51" s="403">
        <f t="shared" si="3"/>
        <v>0</v>
      </c>
      <c r="Q51" s="401">
        <f t="shared" si="4"/>
        <v>0</v>
      </c>
      <c r="R51" s="361"/>
      <c r="S51" s="361"/>
      <c r="T51" s="361"/>
      <c r="U51" s="361"/>
    </row>
    <row r="52" spans="1:21" ht="15.75" x14ac:dyDescent="0.25">
      <c r="A52" s="724"/>
      <c r="B52" s="788"/>
      <c r="C52" s="489"/>
      <c r="D52" s="489"/>
      <c r="E52" s="489"/>
      <c r="F52" s="489"/>
      <c r="G52" s="361"/>
      <c r="H52" s="490"/>
      <c r="I52" s="491"/>
      <c r="J52" s="490"/>
      <c r="K52" s="491"/>
      <c r="L52" s="490"/>
      <c r="M52" s="491"/>
      <c r="N52" s="490"/>
      <c r="O52" s="491"/>
      <c r="P52" s="403">
        <f t="shared" si="3"/>
        <v>0</v>
      </c>
      <c r="Q52" s="401">
        <f t="shared" si="4"/>
        <v>0</v>
      </c>
      <c r="R52" s="361"/>
      <c r="S52" s="361"/>
      <c r="T52" s="361"/>
      <c r="U52" s="361"/>
    </row>
    <row r="53" spans="1:21" ht="15.75" x14ac:dyDescent="0.25">
      <c r="A53" s="724"/>
      <c r="B53" s="788"/>
      <c r="C53" s="489"/>
      <c r="D53" s="489"/>
      <c r="E53" s="489"/>
      <c r="F53" s="489"/>
      <c r="G53" s="361"/>
      <c r="H53" s="490"/>
      <c r="I53" s="491"/>
      <c r="J53" s="490"/>
      <c r="K53" s="491"/>
      <c r="L53" s="490"/>
      <c r="M53" s="491"/>
      <c r="N53" s="490"/>
      <c r="O53" s="491"/>
      <c r="P53" s="403">
        <f t="shared" si="3"/>
        <v>0</v>
      </c>
      <c r="Q53" s="401">
        <f t="shared" si="4"/>
        <v>0</v>
      </c>
      <c r="R53" s="361"/>
      <c r="S53" s="361"/>
      <c r="T53" s="361"/>
      <c r="U53" s="361"/>
    </row>
    <row r="54" spans="1:21" ht="15.75" x14ac:dyDescent="0.25">
      <c r="A54" s="724"/>
      <c r="B54" s="723" t="s">
        <v>1523</v>
      </c>
      <c r="C54" s="489"/>
      <c r="D54" s="489"/>
      <c r="E54" s="489"/>
      <c r="F54" s="489"/>
      <c r="G54" s="361"/>
      <c r="H54" s="490"/>
      <c r="I54" s="491"/>
      <c r="J54" s="490"/>
      <c r="K54" s="491"/>
      <c r="L54" s="490"/>
      <c r="M54" s="491"/>
      <c r="N54" s="490"/>
      <c r="O54" s="491"/>
      <c r="P54" s="403">
        <f t="shared" si="3"/>
        <v>0</v>
      </c>
      <c r="Q54" s="401">
        <f t="shared" si="4"/>
        <v>0</v>
      </c>
      <c r="R54" s="361"/>
      <c r="S54" s="361"/>
      <c r="T54" s="361"/>
      <c r="U54" s="361"/>
    </row>
    <row r="55" spans="1:21" ht="15.75" x14ac:dyDescent="0.25">
      <c r="A55" s="724"/>
      <c r="B55" s="724"/>
      <c r="C55" s="489"/>
      <c r="D55" s="489"/>
      <c r="E55" s="489"/>
      <c r="F55" s="489"/>
      <c r="G55" s="361"/>
      <c r="H55" s="490"/>
      <c r="I55" s="491"/>
      <c r="J55" s="490"/>
      <c r="K55" s="491"/>
      <c r="L55" s="490"/>
      <c r="M55" s="491"/>
      <c r="N55" s="490"/>
      <c r="O55" s="491"/>
      <c r="P55" s="403">
        <f t="shared" si="3"/>
        <v>0</v>
      </c>
      <c r="Q55" s="401">
        <f t="shared" si="4"/>
        <v>0</v>
      </c>
      <c r="R55" s="361"/>
      <c r="S55" s="361"/>
      <c r="T55" s="361"/>
      <c r="U55" s="361"/>
    </row>
    <row r="56" spans="1:21" ht="15.75" x14ac:dyDescent="0.25">
      <c r="A56" s="724"/>
      <c r="B56" s="724"/>
      <c r="C56" s="489"/>
      <c r="D56" s="489"/>
      <c r="E56" s="489"/>
      <c r="F56" s="489"/>
      <c r="G56" s="361"/>
      <c r="H56" s="490"/>
      <c r="I56" s="491"/>
      <c r="J56" s="490"/>
      <c r="K56" s="491"/>
      <c r="L56" s="490"/>
      <c r="M56" s="491"/>
      <c r="N56" s="490"/>
      <c r="O56" s="491"/>
      <c r="P56" s="403">
        <f t="shared" si="3"/>
        <v>0</v>
      </c>
      <c r="Q56" s="401">
        <f t="shared" si="4"/>
        <v>0</v>
      </c>
      <c r="R56" s="361"/>
      <c r="S56" s="361"/>
      <c r="T56" s="361"/>
      <c r="U56" s="361"/>
    </row>
    <row r="57" spans="1:21" ht="15.75" x14ac:dyDescent="0.25">
      <c r="A57" s="725"/>
      <c r="B57" s="725"/>
      <c r="C57" s="489"/>
      <c r="D57" s="489"/>
      <c r="E57" s="489"/>
      <c r="F57" s="489"/>
      <c r="G57" s="361"/>
      <c r="H57" s="490"/>
      <c r="I57" s="491"/>
      <c r="J57" s="490"/>
      <c r="K57" s="491"/>
      <c r="L57" s="490"/>
      <c r="M57" s="491"/>
      <c r="N57" s="490"/>
      <c r="O57" s="491"/>
      <c r="P57" s="403">
        <f t="shared" si="3"/>
        <v>0</v>
      </c>
      <c r="Q57" s="401">
        <f t="shared" si="4"/>
        <v>0</v>
      </c>
      <c r="R57" s="361"/>
      <c r="S57" s="361"/>
      <c r="T57" s="361"/>
      <c r="U57" s="361"/>
    </row>
    <row r="58" spans="1:21" ht="15.75" x14ac:dyDescent="0.25">
      <c r="A58" s="723" t="s">
        <v>1503</v>
      </c>
      <c r="B58" s="723" t="s">
        <v>1524</v>
      </c>
      <c r="C58" s="489"/>
      <c r="D58" s="489"/>
      <c r="E58" s="489"/>
      <c r="F58" s="489"/>
      <c r="G58" s="361"/>
      <c r="H58" s="490"/>
      <c r="I58" s="491"/>
      <c r="J58" s="490"/>
      <c r="K58" s="491"/>
      <c r="L58" s="490"/>
      <c r="M58" s="491"/>
      <c r="N58" s="490"/>
      <c r="O58" s="491"/>
      <c r="P58" s="403">
        <f t="shared" si="3"/>
        <v>0</v>
      </c>
      <c r="Q58" s="401">
        <f t="shared" si="4"/>
        <v>0</v>
      </c>
      <c r="R58" s="361"/>
      <c r="S58" s="361"/>
      <c r="T58" s="361"/>
      <c r="U58" s="361"/>
    </row>
    <row r="59" spans="1:21" ht="15.75" x14ac:dyDescent="0.25">
      <c r="A59" s="724"/>
      <c r="B59" s="724"/>
      <c r="C59" s="489"/>
      <c r="D59" s="489"/>
      <c r="E59" s="489"/>
      <c r="F59" s="489"/>
      <c r="G59" s="361"/>
      <c r="H59" s="490"/>
      <c r="I59" s="491"/>
      <c r="J59" s="490"/>
      <c r="K59" s="491"/>
      <c r="L59" s="490"/>
      <c r="M59" s="491"/>
      <c r="N59" s="490"/>
      <c r="O59" s="491"/>
      <c r="P59" s="403">
        <f t="shared" si="3"/>
        <v>0</v>
      </c>
      <c r="Q59" s="401">
        <f t="shared" si="4"/>
        <v>0</v>
      </c>
      <c r="R59" s="361"/>
      <c r="S59" s="361"/>
      <c r="T59" s="361"/>
      <c r="U59" s="361"/>
    </row>
    <row r="60" spans="1:21" ht="15.75" x14ac:dyDescent="0.25">
      <c r="A60" s="724"/>
      <c r="B60" s="724"/>
      <c r="C60" s="489"/>
      <c r="D60" s="489"/>
      <c r="E60" s="489"/>
      <c r="F60" s="489"/>
      <c r="G60" s="361"/>
      <c r="H60" s="490"/>
      <c r="I60" s="491"/>
      <c r="J60" s="490"/>
      <c r="K60" s="491"/>
      <c r="L60" s="490"/>
      <c r="M60" s="491"/>
      <c r="N60" s="490"/>
      <c r="O60" s="491"/>
      <c r="P60" s="403">
        <f t="shared" si="3"/>
        <v>0</v>
      </c>
      <c r="Q60" s="401">
        <f t="shared" si="4"/>
        <v>0</v>
      </c>
      <c r="R60" s="361"/>
      <c r="S60" s="361"/>
      <c r="T60" s="361"/>
      <c r="U60" s="361"/>
    </row>
    <row r="61" spans="1:21" ht="15.75" x14ac:dyDescent="0.25">
      <c r="A61" s="724"/>
      <c r="B61" s="725"/>
      <c r="C61" s="489"/>
      <c r="D61" s="489"/>
      <c r="E61" s="489"/>
      <c r="F61" s="489"/>
      <c r="G61" s="361"/>
      <c r="H61" s="490"/>
      <c r="I61" s="491"/>
      <c r="J61" s="490"/>
      <c r="K61" s="491"/>
      <c r="L61" s="490"/>
      <c r="M61" s="491"/>
      <c r="N61" s="490"/>
      <c r="O61" s="491"/>
      <c r="P61" s="403">
        <f t="shared" si="3"/>
        <v>0</v>
      </c>
      <c r="Q61" s="401">
        <f t="shared" si="4"/>
        <v>0</v>
      </c>
      <c r="R61" s="361"/>
      <c r="S61" s="361"/>
      <c r="T61" s="361"/>
      <c r="U61" s="361"/>
    </row>
    <row r="62" spans="1:21" ht="15.75" x14ac:dyDescent="0.25">
      <c r="A62" s="724"/>
      <c r="B62" s="723" t="s">
        <v>1525</v>
      </c>
      <c r="C62" s="489"/>
      <c r="D62" s="489"/>
      <c r="E62" s="489"/>
      <c r="F62" s="489"/>
      <c r="G62" s="361"/>
      <c r="H62" s="490"/>
      <c r="I62" s="491"/>
      <c r="J62" s="490"/>
      <c r="K62" s="491"/>
      <c r="L62" s="490"/>
      <c r="M62" s="491"/>
      <c r="N62" s="490"/>
      <c r="O62" s="491"/>
      <c r="P62" s="403">
        <f t="shared" si="3"/>
        <v>0</v>
      </c>
      <c r="Q62" s="401">
        <f t="shared" si="4"/>
        <v>0</v>
      </c>
      <c r="R62" s="361"/>
      <c r="S62" s="361"/>
      <c r="T62" s="361"/>
      <c r="U62" s="361"/>
    </row>
    <row r="63" spans="1:21" ht="15.75" x14ac:dyDescent="0.25">
      <c r="A63" s="724"/>
      <c r="B63" s="724"/>
      <c r="C63" s="489"/>
      <c r="D63" s="489"/>
      <c r="E63" s="489"/>
      <c r="F63" s="489"/>
      <c r="G63" s="361"/>
      <c r="H63" s="490"/>
      <c r="I63" s="491"/>
      <c r="J63" s="490"/>
      <c r="K63" s="491"/>
      <c r="L63" s="490"/>
      <c r="M63" s="491"/>
      <c r="N63" s="490"/>
      <c r="O63" s="491"/>
      <c r="P63" s="403">
        <f t="shared" si="3"/>
        <v>0</v>
      </c>
      <c r="Q63" s="401">
        <f t="shared" si="4"/>
        <v>0</v>
      </c>
      <c r="R63" s="361"/>
      <c r="S63" s="361"/>
      <c r="T63" s="361"/>
      <c r="U63" s="361"/>
    </row>
    <row r="64" spans="1:21" ht="15.75" x14ac:dyDescent="0.25">
      <c r="A64" s="724"/>
      <c r="B64" s="724"/>
      <c r="C64" s="489"/>
      <c r="D64" s="489"/>
      <c r="E64" s="489"/>
      <c r="F64" s="489"/>
      <c r="G64" s="361"/>
      <c r="H64" s="490"/>
      <c r="I64" s="491"/>
      <c r="J64" s="490"/>
      <c r="K64" s="491"/>
      <c r="L64" s="490"/>
      <c r="M64" s="491"/>
      <c r="N64" s="490"/>
      <c r="O64" s="491"/>
      <c r="P64" s="403">
        <f t="shared" si="3"/>
        <v>0</v>
      </c>
      <c r="Q64" s="401">
        <f t="shared" si="4"/>
        <v>0</v>
      </c>
      <c r="R64" s="361"/>
      <c r="S64" s="361"/>
      <c r="T64" s="361"/>
      <c r="U64" s="361"/>
    </row>
    <row r="65" spans="1:21" ht="15.75" x14ac:dyDescent="0.25">
      <c r="A65" s="724"/>
      <c r="B65" s="725"/>
      <c r="C65" s="489"/>
      <c r="D65" s="489"/>
      <c r="E65" s="489"/>
      <c r="F65" s="489"/>
      <c r="G65" s="361"/>
      <c r="H65" s="490"/>
      <c r="I65" s="491"/>
      <c r="J65" s="490"/>
      <c r="K65" s="491"/>
      <c r="L65" s="490"/>
      <c r="M65" s="491"/>
      <c r="N65" s="490"/>
      <c r="O65" s="491"/>
      <c r="P65" s="403">
        <f t="shared" si="3"/>
        <v>0</v>
      </c>
      <c r="Q65" s="401">
        <f t="shared" si="4"/>
        <v>0</v>
      </c>
      <c r="R65" s="361"/>
      <c r="S65" s="361"/>
      <c r="T65" s="361"/>
      <c r="U65" s="361"/>
    </row>
    <row r="66" spans="1:21" ht="15.75" x14ac:dyDescent="0.25">
      <c r="A66" s="724"/>
      <c r="B66" s="723" t="s">
        <v>1526</v>
      </c>
      <c r="C66" s="489"/>
      <c r="D66" s="489"/>
      <c r="E66" s="489"/>
      <c r="F66" s="489"/>
      <c r="G66" s="361"/>
      <c r="H66" s="490"/>
      <c r="I66" s="491"/>
      <c r="J66" s="490"/>
      <c r="K66" s="491"/>
      <c r="L66" s="490"/>
      <c r="M66" s="491"/>
      <c r="N66" s="490"/>
      <c r="O66" s="491"/>
      <c r="P66" s="403">
        <f t="shared" si="3"/>
        <v>0</v>
      </c>
      <c r="Q66" s="401">
        <f t="shared" si="4"/>
        <v>0</v>
      </c>
      <c r="R66" s="361"/>
      <c r="S66" s="361"/>
      <c r="T66" s="361"/>
      <c r="U66" s="361"/>
    </row>
    <row r="67" spans="1:21" ht="15.75" x14ac:dyDescent="0.25">
      <c r="A67" s="724"/>
      <c r="B67" s="724"/>
      <c r="C67" s="489"/>
      <c r="D67" s="489"/>
      <c r="E67" s="489"/>
      <c r="F67" s="489"/>
      <c r="G67" s="361"/>
      <c r="H67" s="490"/>
      <c r="I67" s="491"/>
      <c r="J67" s="490"/>
      <c r="K67" s="491"/>
      <c r="L67" s="490"/>
      <c r="M67" s="491"/>
      <c r="N67" s="490"/>
      <c r="O67" s="491"/>
      <c r="P67" s="403">
        <f t="shared" si="3"/>
        <v>0</v>
      </c>
      <c r="Q67" s="401">
        <f t="shared" si="4"/>
        <v>0</v>
      </c>
      <c r="R67" s="361"/>
      <c r="S67" s="361"/>
      <c r="T67" s="361"/>
      <c r="U67" s="361"/>
    </row>
    <row r="68" spans="1:21" ht="15.75" x14ac:dyDescent="0.25">
      <c r="A68" s="724"/>
      <c r="B68" s="724"/>
      <c r="C68" s="489"/>
      <c r="D68" s="489"/>
      <c r="E68" s="489"/>
      <c r="F68" s="489"/>
      <c r="G68" s="361"/>
      <c r="H68" s="490"/>
      <c r="I68" s="491"/>
      <c r="J68" s="490"/>
      <c r="K68" s="491"/>
      <c r="L68" s="490"/>
      <c r="M68" s="491"/>
      <c r="N68" s="490"/>
      <c r="O68" s="491"/>
      <c r="P68" s="403">
        <f t="shared" si="3"/>
        <v>0</v>
      </c>
      <c r="Q68" s="401">
        <f t="shared" si="4"/>
        <v>0</v>
      </c>
      <c r="R68" s="361"/>
      <c r="S68" s="361"/>
      <c r="T68" s="361"/>
      <c r="U68" s="361"/>
    </row>
    <row r="69" spans="1:21" ht="15.75" x14ac:dyDescent="0.25">
      <c r="A69" s="724"/>
      <c r="B69" s="725"/>
      <c r="C69" s="489"/>
      <c r="D69" s="489"/>
      <c r="E69" s="489"/>
      <c r="F69" s="489"/>
      <c r="G69" s="361"/>
      <c r="H69" s="490"/>
      <c r="I69" s="491"/>
      <c r="J69" s="490"/>
      <c r="K69" s="491"/>
      <c r="L69" s="490"/>
      <c r="M69" s="491"/>
      <c r="N69" s="490"/>
      <c r="O69" s="491"/>
      <c r="P69" s="403">
        <f t="shared" si="3"/>
        <v>0</v>
      </c>
      <c r="Q69" s="401">
        <f t="shared" si="4"/>
        <v>0</v>
      </c>
      <c r="R69" s="361"/>
      <c r="S69" s="361"/>
      <c r="T69" s="361"/>
      <c r="U69" s="361"/>
    </row>
    <row r="70" spans="1:21" ht="15.75" x14ac:dyDescent="0.25">
      <c r="A70" s="724"/>
      <c r="B70" s="723" t="s">
        <v>1527</v>
      </c>
      <c r="C70" s="489"/>
      <c r="D70" s="489"/>
      <c r="E70" s="489"/>
      <c r="F70" s="489"/>
      <c r="G70" s="361"/>
      <c r="H70" s="490"/>
      <c r="I70" s="491"/>
      <c r="J70" s="490"/>
      <c r="K70" s="491"/>
      <c r="L70" s="490"/>
      <c r="M70" s="491"/>
      <c r="N70" s="490"/>
      <c r="O70" s="491"/>
      <c r="P70" s="403">
        <f t="shared" si="3"/>
        <v>0</v>
      </c>
      <c r="Q70" s="401">
        <f t="shared" si="4"/>
        <v>0</v>
      </c>
      <c r="R70" s="361"/>
      <c r="S70" s="361"/>
      <c r="T70" s="361"/>
      <c r="U70" s="361"/>
    </row>
    <row r="71" spans="1:21" ht="15.75" x14ac:dyDescent="0.25">
      <c r="A71" s="724"/>
      <c r="B71" s="724"/>
      <c r="C71" s="489"/>
      <c r="D71" s="489"/>
      <c r="E71" s="489"/>
      <c r="F71" s="489"/>
      <c r="G71" s="361"/>
      <c r="H71" s="490"/>
      <c r="I71" s="491"/>
      <c r="J71" s="490"/>
      <c r="K71" s="491"/>
      <c r="L71" s="490"/>
      <c r="M71" s="491"/>
      <c r="N71" s="490"/>
      <c r="O71" s="491"/>
      <c r="P71" s="403">
        <f t="shared" si="3"/>
        <v>0</v>
      </c>
      <c r="Q71" s="401">
        <f t="shared" si="4"/>
        <v>0</v>
      </c>
      <c r="R71" s="361"/>
      <c r="S71" s="361"/>
      <c r="T71" s="361"/>
      <c r="U71" s="361"/>
    </row>
    <row r="72" spans="1:21" ht="15.75" x14ac:dyDescent="0.25">
      <c r="A72" s="724"/>
      <c r="B72" s="724"/>
      <c r="C72" s="489"/>
      <c r="D72" s="489"/>
      <c r="E72" s="489"/>
      <c r="F72" s="489"/>
      <c r="G72" s="361"/>
      <c r="H72" s="490"/>
      <c r="I72" s="491"/>
      <c r="J72" s="490"/>
      <c r="K72" s="491"/>
      <c r="L72" s="490"/>
      <c r="M72" s="491"/>
      <c r="N72" s="490"/>
      <c r="O72" s="491"/>
      <c r="P72" s="403">
        <f t="shared" si="3"/>
        <v>0</v>
      </c>
      <c r="Q72" s="401">
        <f t="shared" si="4"/>
        <v>0</v>
      </c>
      <c r="R72" s="361"/>
      <c r="S72" s="361"/>
      <c r="T72" s="361"/>
      <c r="U72" s="361"/>
    </row>
    <row r="73" spans="1:21" ht="15.75" x14ac:dyDescent="0.25">
      <c r="A73" s="725"/>
      <c r="B73" s="725"/>
      <c r="C73" s="489"/>
      <c r="D73" s="489"/>
      <c r="E73" s="489"/>
      <c r="F73" s="489"/>
      <c r="G73" s="361"/>
      <c r="H73" s="361"/>
      <c r="I73" s="491"/>
      <c r="J73" s="361"/>
      <c r="K73" s="491"/>
      <c r="L73" s="361"/>
      <c r="M73" s="491"/>
      <c r="N73" s="361"/>
      <c r="O73" s="491"/>
      <c r="P73" s="403">
        <f t="shared" ref="P73:Q73" si="5">H73+J73+L73+N73</f>
        <v>0</v>
      </c>
      <c r="Q73" s="401">
        <f t="shared" si="5"/>
        <v>0</v>
      </c>
      <c r="R73" s="492"/>
      <c r="S73" s="361"/>
      <c r="T73" s="361"/>
      <c r="U73" s="361"/>
    </row>
    <row r="74" spans="1:21" ht="15.75" x14ac:dyDescent="0.25">
      <c r="A74" s="294"/>
      <c r="B74" s="295"/>
      <c r="C74" s="295"/>
      <c r="D74" s="295"/>
      <c r="E74" s="294" t="s">
        <v>1505</v>
      </c>
      <c r="F74" s="295"/>
      <c r="G74" s="296"/>
      <c r="H74" s="235">
        <f t="shared" ref="H74:O74" si="6">SUM(H11:H73)</f>
        <v>1</v>
      </c>
      <c r="I74" s="235">
        <f t="shared" si="6"/>
        <v>7175</v>
      </c>
      <c r="J74" s="235">
        <f t="shared" si="6"/>
        <v>0</v>
      </c>
      <c r="K74" s="235">
        <f t="shared" si="6"/>
        <v>0</v>
      </c>
      <c r="L74" s="235">
        <f t="shared" si="6"/>
        <v>1</v>
      </c>
      <c r="M74" s="235">
        <f t="shared" si="6"/>
        <v>14250</v>
      </c>
      <c r="N74" s="235">
        <f t="shared" si="6"/>
        <v>0</v>
      </c>
      <c r="O74" s="235">
        <f t="shared" si="6"/>
        <v>0</v>
      </c>
      <c r="P74" s="235">
        <f>SUM(P11:P73)</f>
        <v>2</v>
      </c>
      <c r="Q74" s="235">
        <f>SUM(Q11:Q73)</f>
        <v>21425</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0 F13:F17"/>
    <dataValidation allowBlank="1" showInputMessage="1" showErrorMessage="1" promptTitle="INDICADORES DE RESULTADOS" prompt="Medidas o variables para verificar el cumplimiento de cada paso._x000a_" sqref="E7:E10 E13: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 D13:D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G13: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1 U13:U17"/>
    <dataValidation allowBlank="1" showInputMessage="1" showErrorMessage="1" promptTitle="POBLACIÓN OBJETIVO" prompt="Grupo  de personas al cual se pretende beneficiar con dicho actividad." sqref="T7:T11 T13:T17"/>
    <dataValidation allowBlank="1" showInputMessage="1" showErrorMessage="1" promptTitle="MEDIO DE VERIFICACIÓN" prompt="Corresponde a los elementos a través del cual se acredita y se verifican  las actividades." sqref="S7:S10 S13:S17"/>
    <dataValidation allowBlank="1" showInputMessage="1" showErrorMessage="1" promptTitle="JUSTIFICACIÓN" prompt="Es aquella en que se explica de forma convincente el motivo por el que y para que se va realizar dicha actividad, que beneficio va traer a la institución." sqref="R7:R10 R13: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52" activePane="bottomLeft" state="frozen"/>
      <selection activeCell="A11" sqref="A11"/>
      <selection pane="bottomLeft" activeCell="D570" sqref="D570"/>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9"/>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x14ac:dyDescent="0.25">
      <c r="K2" s="160"/>
      <c r="Z2" s="466"/>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1692</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717" t="s">
        <v>392</v>
      </c>
      <c r="L10" s="717"/>
      <c r="M10" s="717"/>
      <c r="N10" s="717"/>
      <c r="O10" s="717"/>
      <c r="P10" s="717"/>
      <c r="Q10" s="717"/>
      <c r="R10" s="717"/>
      <c r="S10" s="717"/>
      <c r="T10" s="717"/>
      <c r="U10" s="717"/>
      <c r="V10" s="717"/>
      <c r="W10" s="717"/>
      <c r="X10" s="717"/>
      <c r="Y10" s="717"/>
      <c r="Z10" s="717"/>
      <c r="AA10" s="717"/>
    </row>
    <row r="11" spans="1:571" ht="79.5" thickBot="1" x14ac:dyDescent="0.3">
      <c r="A11" s="374"/>
      <c r="B11" s="322" t="s">
        <v>132</v>
      </c>
      <c r="C11" s="193" t="s">
        <v>131</v>
      </c>
      <c r="D11" s="194" t="s">
        <v>128</v>
      </c>
      <c r="E11" s="211" t="s">
        <v>1691</v>
      </c>
      <c r="F11" s="194" t="s">
        <v>247</v>
      </c>
      <c r="G11" s="194" t="s">
        <v>459</v>
      </c>
      <c r="H11" s="194" t="s">
        <v>461</v>
      </c>
      <c r="I11" s="211" t="s">
        <v>462</v>
      </c>
      <c r="J11" s="194" t="s">
        <v>460</v>
      </c>
      <c r="K11" s="340" t="s">
        <v>1356</v>
      </c>
      <c r="L11" s="340" t="s">
        <v>1358</v>
      </c>
      <c r="M11" s="340" t="s">
        <v>470</v>
      </c>
      <c r="N11" s="340" t="s">
        <v>1357</v>
      </c>
      <c r="O11" s="340" t="s">
        <v>1359</v>
      </c>
      <c r="P11" s="340" t="s">
        <v>471</v>
      </c>
      <c r="Q11" s="340" t="s">
        <v>1360</v>
      </c>
      <c r="R11" s="340" t="s">
        <v>1361</v>
      </c>
      <c r="S11" s="340" t="s">
        <v>1362</v>
      </c>
      <c r="T11" s="340" t="s">
        <v>1449</v>
      </c>
      <c r="U11" s="340" t="s">
        <v>1363</v>
      </c>
      <c r="V11" s="340" t="s">
        <v>1364</v>
      </c>
      <c r="W11" s="340" t="s">
        <v>1365</v>
      </c>
      <c r="X11" s="340" t="s">
        <v>1366</v>
      </c>
      <c r="Y11" s="340" t="s">
        <v>1367</v>
      </c>
      <c r="Z11" s="340" t="s">
        <v>1471</v>
      </c>
      <c r="AA11" s="340" t="s">
        <v>1506</v>
      </c>
      <c r="AB11" s="339"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73"/>
      <c r="B12" s="187" t="s">
        <v>250</v>
      </c>
      <c r="C12" s="188" t="s">
        <v>133</v>
      </c>
      <c r="D12" s="189">
        <f>D13+D47+D83+D89+D96</f>
        <v>0</v>
      </c>
      <c r="E12" s="189">
        <f>E13+E47+E83+E89+E96</f>
        <v>3504346.0650000004</v>
      </c>
      <c r="F12" s="189">
        <f t="shared" ref="F12:F106" si="0">D12+E12</f>
        <v>3504346.0650000004</v>
      </c>
      <c r="G12" s="189">
        <f>G13+G47+G83+G89+G96</f>
        <v>0</v>
      </c>
      <c r="H12" s="189">
        <f>F12-G12</f>
        <v>3504346.0650000004</v>
      </c>
      <c r="I12" s="189">
        <f>I13+I47+I83+I89+I96</f>
        <v>0</v>
      </c>
      <c r="J12" s="189">
        <f>F12-I12</f>
        <v>3504346.0650000004</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3504346.0650000004</v>
      </c>
      <c r="V12" s="189">
        <f t="shared" si="1"/>
        <v>0</v>
      </c>
      <c r="W12" s="189">
        <f t="shared" si="1"/>
        <v>0</v>
      </c>
      <c r="X12" s="189">
        <f t="shared" si="1"/>
        <v>0</v>
      </c>
      <c r="Y12" s="189">
        <f t="shared" ref="Y12:Z12" si="3">Y13+Y47+Y83+Y89+Y96</f>
        <v>0</v>
      </c>
      <c r="Z12" s="189">
        <f t="shared" si="3"/>
        <v>0</v>
      </c>
      <c r="AA12" s="189">
        <f t="shared" si="1"/>
        <v>0</v>
      </c>
      <c r="AB12" s="189">
        <f t="shared" si="1"/>
        <v>202500</v>
      </c>
      <c r="AC12" s="189">
        <f t="shared" si="1"/>
        <v>0</v>
      </c>
      <c r="AD12" s="189">
        <f t="shared" si="1"/>
        <v>3301846.0650000004</v>
      </c>
      <c r="AE12" s="189">
        <f>AB12+AC12+AD12</f>
        <v>3504346.0650000004</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3504346.0650000004</v>
      </c>
    </row>
    <row r="13" spans="1:571" x14ac:dyDescent="0.25">
      <c r="B13" s="190" t="s">
        <v>251</v>
      </c>
      <c r="C13" s="191" t="s">
        <v>134</v>
      </c>
      <c r="D13" s="192">
        <f>SUM(D14:D46)</f>
        <v>0</v>
      </c>
      <c r="E13" s="192">
        <f>SUM(E14:E46)</f>
        <v>3504346.0650000004</v>
      </c>
      <c r="F13" s="192">
        <f t="shared" si="0"/>
        <v>3504346.0650000004</v>
      </c>
      <c r="G13" s="192">
        <f>SUM(G14:G46)</f>
        <v>0</v>
      </c>
      <c r="H13" s="192">
        <f t="shared" ref="H13:H220" si="4">F13-G13</f>
        <v>3504346.0650000004</v>
      </c>
      <c r="I13" s="192">
        <f>SUM(I14:I46)</f>
        <v>0</v>
      </c>
      <c r="J13" s="192">
        <f t="shared" ref="J13:J220" si="5">F13-I13</f>
        <v>3504346.0650000004</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3504346.0650000004</v>
      </c>
      <c r="V13" s="192">
        <f t="shared" si="6"/>
        <v>0</v>
      </c>
      <c r="W13" s="192">
        <f t="shared" si="6"/>
        <v>0</v>
      </c>
      <c r="X13" s="192">
        <f t="shared" si="6"/>
        <v>0</v>
      </c>
      <c r="Y13" s="192">
        <f t="shared" ref="Y13:Z13" si="8">SUM(Y14:Y46)</f>
        <v>0</v>
      </c>
      <c r="Z13" s="192">
        <f t="shared" si="8"/>
        <v>0</v>
      </c>
      <c r="AA13" s="192">
        <f t="shared" si="6"/>
        <v>0</v>
      </c>
      <c r="AB13" s="192">
        <f t="shared" si="6"/>
        <v>202500</v>
      </c>
      <c r="AC13" s="192">
        <f t="shared" si="6"/>
        <v>0</v>
      </c>
      <c r="AD13" s="192">
        <f t="shared" si="6"/>
        <v>3301846.0650000004</v>
      </c>
      <c r="AE13" s="192">
        <f t="shared" ref="AE13:AE220" si="9">AB13+AC13+AD13</f>
        <v>3504346.0650000004</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3504346.0650000004</v>
      </c>
    </row>
    <row r="14" spans="1:571" x14ac:dyDescent="0.25">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3114974.2800000003</v>
      </c>
      <c r="F15" s="183">
        <f t="shared" si="0"/>
        <v>3114974.2800000003</v>
      </c>
      <c r="G15" s="183"/>
      <c r="H15" s="183">
        <f t="shared" si="4"/>
        <v>3114974.2800000003</v>
      </c>
      <c r="I15" s="183"/>
      <c r="J15" s="183">
        <f t="shared" si="5"/>
        <v>3114974.2800000003</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3114974.2800000003</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2934974.2800000003</v>
      </c>
      <c r="AE15" s="183">
        <f t="shared" si="9"/>
        <v>3114974.2800000003</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3114974.2800000003</v>
      </c>
    </row>
    <row r="16" spans="1:571" x14ac:dyDescent="0.25">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259581.19000000003</v>
      </c>
      <c r="F28" s="183">
        <f t="shared" si="14"/>
        <v>259581.19000000003</v>
      </c>
      <c r="G28" s="183"/>
      <c r="H28" s="183">
        <f t="shared" si="15"/>
        <v>259581.19000000003</v>
      </c>
      <c r="I28" s="183"/>
      <c r="J28" s="183">
        <f t="shared" si="16"/>
        <v>259581.19000000003</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259581.19000000003</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244581.19000000003</v>
      </c>
      <c r="AE28" s="183">
        <f t="shared" si="17"/>
        <v>259581.19000000003</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259581.19000000003</v>
      </c>
    </row>
    <row r="29" spans="2:44" x14ac:dyDescent="0.25">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129790.59500000002</v>
      </c>
      <c r="F29" s="183">
        <f t="shared" ref="F29:F30" si="38">D29+E29</f>
        <v>129790.59500000002</v>
      </c>
      <c r="G29" s="183"/>
      <c r="H29" s="183">
        <f t="shared" ref="H29:H30" si="39">F29-G29</f>
        <v>129790.59500000002</v>
      </c>
      <c r="I29" s="183"/>
      <c r="J29" s="183">
        <f t="shared" ref="J29:J30" si="40">F29-I29</f>
        <v>129790.59500000002</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129790.59500000002</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122290.59500000002</v>
      </c>
      <c r="AE29" s="183">
        <f t="shared" ref="AE29:AE30" si="41">AB29+AC29+AD29</f>
        <v>129790.59500000002</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129790.59500000002</v>
      </c>
    </row>
    <row r="30" spans="2:44" x14ac:dyDescent="0.25">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276</v>
      </c>
      <c r="C106" s="179" t="s">
        <v>160</v>
      </c>
      <c r="D106" s="180">
        <f>D107+D118+D133+D149+D164+D190+D207+D214</f>
        <v>350179.74924999999</v>
      </c>
      <c r="E106" s="180">
        <f>E107+E118+E133+E149+E164+E190+E207+E214</f>
        <v>0</v>
      </c>
      <c r="F106" s="180">
        <f t="shared" si="0"/>
        <v>350179.74924999999</v>
      </c>
      <c r="G106" s="180">
        <f>G107+G118+G133+G149+G164+G190+G207+G214</f>
        <v>0</v>
      </c>
      <c r="H106" s="180">
        <f t="shared" si="4"/>
        <v>350179.74924999999</v>
      </c>
      <c r="I106" s="180">
        <f>I107+I118+I133+I149+I164+I190+I207+I214</f>
        <v>0</v>
      </c>
      <c r="J106" s="180">
        <f t="shared" si="5"/>
        <v>350179.74924999999</v>
      </c>
      <c r="K106" s="180">
        <f t="shared" ref="K106:AD106" si="297">K107+K118+K133+K149+K164+K190+K207+K214</f>
        <v>2000</v>
      </c>
      <c r="L106" s="180">
        <f t="shared" si="297"/>
        <v>153229.74924999999</v>
      </c>
      <c r="M106" s="180">
        <f t="shared" si="297"/>
        <v>18600</v>
      </c>
      <c r="N106" s="180">
        <f t="shared" si="297"/>
        <v>37850</v>
      </c>
      <c r="O106" s="180">
        <f t="shared" si="297"/>
        <v>41950</v>
      </c>
      <c r="P106" s="180">
        <f t="shared" si="297"/>
        <v>0</v>
      </c>
      <c r="Q106" s="180">
        <f t="shared" si="297"/>
        <v>0</v>
      </c>
      <c r="R106" s="180">
        <f t="shared" si="297"/>
        <v>0</v>
      </c>
      <c r="S106" s="180">
        <f t="shared" si="297"/>
        <v>0</v>
      </c>
      <c r="T106" s="180">
        <f t="shared" ref="T106" si="298">T107+T118+T133+T149+T164+T190+T207+T214</f>
        <v>0</v>
      </c>
      <c r="U106" s="180">
        <f t="shared" si="297"/>
        <v>68500</v>
      </c>
      <c r="V106" s="180">
        <f t="shared" si="297"/>
        <v>0</v>
      </c>
      <c r="W106" s="180">
        <f t="shared" si="297"/>
        <v>0</v>
      </c>
      <c r="X106" s="180">
        <f t="shared" si="297"/>
        <v>55959.050999999999</v>
      </c>
      <c r="Y106" s="180">
        <f t="shared" ref="Y106:Z106" si="299">Y107+Y118+Y133+Y149+Y164+Y190+Y207+Y214</f>
        <v>0</v>
      </c>
      <c r="Z106" s="180">
        <f t="shared" si="299"/>
        <v>0</v>
      </c>
      <c r="AA106" s="180">
        <f t="shared" si="297"/>
        <v>16300</v>
      </c>
      <c r="AB106" s="180">
        <f t="shared" si="297"/>
        <v>146729.74924999999</v>
      </c>
      <c r="AC106" s="180">
        <f t="shared" si="297"/>
        <v>206559.05100000001</v>
      </c>
      <c r="AD106" s="180">
        <f t="shared" si="297"/>
        <v>17900</v>
      </c>
      <c r="AE106" s="180">
        <f t="shared" si="9"/>
        <v>371188.80024999997</v>
      </c>
      <c r="AF106" s="180">
        <f>AF107+AF118+AF133+AF149+AF164+AF190+AF207+AF214</f>
        <v>0</v>
      </c>
      <c r="AG106" s="180">
        <f>AG107+AG118+AG133+AG149+AG164+AG190+AG207+AG214</f>
        <v>20000</v>
      </c>
      <c r="AH106" s="180">
        <f>AH107+AH118+AH133+AH149+AH164+AH190+AH207+AH214</f>
        <v>1200</v>
      </c>
      <c r="AI106" s="180">
        <f t="shared" si="10"/>
        <v>21200</v>
      </c>
      <c r="AJ106" s="180">
        <f>AJ107+AJ118+AJ133+AJ149+AJ164+AJ190+AJ207+AJ214</f>
        <v>0</v>
      </c>
      <c r="AK106" s="180">
        <f>AK107+AK118+AK133+AK149+AK164+AK190+AK207+AK214</f>
        <v>0</v>
      </c>
      <c r="AL106" s="180">
        <f>AL107+AL118+AL133+AL149+AL164+AL190+AL207+AL214</f>
        <v>2000</v>
      </c>
      <c r="AM106" s="180">
        <f t="shared" si="11"/>
        <v>2000</v>
      </c>
      <c r="AN106" s="180">
        <f>AN107+AN118+AN133+AN149+AN164+AN190+AN207+AN214</f>
        <v>0</v>
      </c>
      <c r="AO106" s="180">
        <f>AO107+AO118+AO133+AO149+AO164+AO190+AO207+AO214</f>
        <v>0</v>
      </c>
      <c r="AP106" s="180">
        <f>AP107+AP118+AP133+AP149+AP164+AP190+AP207+AP214</f>
        <v>0</v>
      </c>
      <c r="AQ106" s="180">
        <f t="shared" si="12"/>
        <v>0</v>
      </c>
      <c r="AR106" s="180">
        <f t="shared" si="13"/>
        <v>394388.80024999997</v>
      </c>
    </row>
    <row r="107" spans="2:44" x14ac:dyDescent="0.25">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279</v>
      </c>
      <c r="C118" s="191" t="s">
        <v>163</v>
      </c>
      <c r="D118" s="192">
        <f>SUM(D119:D132)</f>
        <v>42100</v>
      </c>
      <c r="E118" s="192">
        <f>SUM(E119:E132)</f>
        <v>0</v>
      </c>
      <c r="F118" s="192">
        <f t="shared" si="300"/>
        <v>42100</v>
      </c>
      <c r="G118" s="192">
        <f t="shared" ref="G118:I118" si="337">SUM(G119:G132)</f>
        <v>0</v>
      </c>
      <c r="H118" s="192">
        <f t="shared" si="4"/>
        <v>42100</v>
      </c>
      <c r="I118" s="192">
        <f t="shared" si="337"/>
        <v>0</v>
      </c>
      <c r="J118" s="192">
        <f t="shared" si="5"/>
        <v>42100</v>
      </c>
      <c r="K118" s="192">
        <f t="shared" ref="K118:AP118" si="338">SUM(K119:K132)</f>
        <v>0</v>
      </c>
      <c r="L118" s="192">
        <f t="shared" si="338"/>
        <v>24300</v>
      </c>
      <c r="M118" s="192">
        <f t="shared" si="338"/>
        <v>8600</v>
      </c>
      <c r="N118" s="192">
        <f t="shared" si="338"/>
        <v>0</v>
      </c>
      <c r="O118" s="192">
        <f t="shared" si="338"/>
        <v>6000</v>
      </c>
      <c r="P118" s="192">
        <f t="shared" ref="P118:Q118" si="339">SUM(P119:P132)</f>
        <v>0</v>
      </c>
      <c r="Q118" s="192">
        <f t="shared" si="339"/>
        <v>0</v>
      </c>
      <c r="R118" s="192">
        <f t="shared" si="338"/>
        <v>0</v>
      </c>
      <c r="S118" s="192">
        <f t="shared" si="338"/>
        <v>0</v>
      </c>
      <c r="T118" s="192">
        <f t="shared" ref="T118" si="340">SUM(T119:T132)</f>
        <v>0</v>
      </c>
      <c r="U118" s="192">
        <f t="shared" si="338"/>
        <v>3200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41300</v>
      </c>
      <c r="AD118" s="192">
        <f t="shared" si="338"/>
        <v>400</v>
      </c>
      <c r="AE118" s="192">
        <f t="shared" si="9"/>
        <v>41700</v>
      </c>
      <c r="AF118" s="192">
        <f t="shared" si="338"/>
        <v>0</v>
      </c>
      <c r="AG118" s="192">
        <f t="shared" si="338"/>
        <v>0</v>
      </c>
      <c r="AH118" s="192">
        <f t="shared" si="338"/>
        <v>400</v>
      </c>
      <c r="AI118" s="192">
        <f t="shared" si="10"/>
        <v>400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42100</v>
      </c>
    </row>
    <row r="119" spans="2:44" x14ac:dyDescent="0.25">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42100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42100</v>
      </c>
      <c r="G132" s="183"/>
      <c r="H132" s="183">
        <f t="shared" si="343"/>
        <v>42100</v>
      </c>
      <c r="I132" s="183"/>
      <c r="J132" s="183">
        <f t="shared" si="344"/>
        <v>42100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24300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8600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41300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E132" s="183">
        <f t="shared" si="345"/>
        <v>41700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I132" s="183">
        <f t="shared" si="346"/>
        <v>400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42100</v>
      </c>
    </row>
    <row r="133" spans="2:44" x14ac:dyDescent="0.25">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291</v>
      </c>
      <c r="C164" s="191" t="s">
        <v>175</v>
      </c>
      <c r="D164" s="192">
        <f>SUM(D165:D189)</f>
        <v>57000</v>
      </c>
      <c r="E164" s="192">
        <f>SUM(E165:E189)</f>
        <v>0</v>
      </c>
      <c r="F164" s="192">
        <f t="shared" si="300"/>
        <v>57000</v>
      </c>
      <c r="G164" s="192">
        <f>SUM(G165:G189)</f>
        <v>0</v>
      </c>
      <c r="H164" s="192">
        <f t="shared" si="4"/>
        <v>57000</v>
      </c>
      <c r="I164" s="192">
        <f>SUM(I165:I189)</f>
        <v>0</v>
      </c>
      <c r="J164" s="192">
        <f t="shared" si="5"/>
        <v>57000</v>
      </c>
      <c r="K164" s="192">
        <f t="shared" ref="K164:AD164" si="447">SUM(K165:K189)</f>
        <v>0</v>
      </c>
      <c r="L164" s="192">
        <f t="shared" si="447"/>
        <v>14300</v>
      </c>
      <c r="M164" s="192">
        <f t="shared" si="447"/>
        <v>10000</v>
      </c>
      <c r="N164" s="192">
        <f t="shared" si="447"/>
        <v>0</v>
      </c>
      <c r="O164" s="192">
        <f t="shared" si="447"/>
        <v>31000</v>
      </c>
      <c r="P164" s="192">
        <f t="shared" ref="P164:Q164" si="448">SUM(P165:P189)</f>
        <v>0</v>
      </c>
      <c r="Q164" s="192">
        <f t="shared" si="448"/>
        <v>0</v>
      </c>
      <c r="R164" s="192">
        <f t="shared" si="447"/>
        <v>0</v>
      </c>
      <c r="S164" s="192">
        <f t="shared" si="447"/>
        <v>0</v>
      </c>
      <c r="T164" s="192">
        <f t="shared" ref="T164" si="449">SUM(T165:T189)</f>
        <v>0</v>
      </c>
      <c r="U164" s="192">
        <f t="shared" si="447"/>
        <v>3300</v>
      </c>
      <c r="V164" s="192">
        <f t="shared" si="447"/>
        <v>0</v>
      </c>
      <c r="W164" s="192">
        <f t="shared" ref="W164" si="450">SUM(W165:W189)</f>
        <v>0</v>
      </c>
      <c r="X164" s="192">
        <f t="shared" si="447"/>
        <v>0</v>
      </c>
      <c r="Y164" s="192">
        <f t="shared" ref="Y164:Z164" si="451">SUM(Y165:Y189)</f>
        <v>0</v>
      </c>
      <c r="Z164" s="192">
        <f t="shared" si="451"/>
        <v>0</v>
      </c>
      <c r="AA164" s="192">
        <f t="shared" si="447"/>
        <v>2650</v>
      </c>
      <c r="AB164" s="192">
        <f t="shared" si="447"/>
        <v>0</v>
      </c>
      <c r="AC164" s="192">
        <f t="shared" si="447"/>
        <v>55950</v>
      </c>
      <c r="AD164" s="192">
        <f t="shared" si="447"/>
        <v>4500</v>
      </c>
      <c r="AE164" s="192">
        <f t="shared" si="9"/>
        <v>60450</v>
      </c>
      <c r="AF164" s="192">
        <f>SUM(AF165:AF189)</f>
        <v>0</v>
      </c>
      <c r="AG164" s="192">
        <f>SUM(AG165:AG189)</f>
        <v>0</v>
      </c>
      <c r="AH164" s="192">
        <f>SUM(AH165:AH189)</f>
        <v>800</v>
      </c>
      <c r="AI164" s="192">
        <f t="shared" si="10"/>
        <v>800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61250</v>
      </c>
    </row>
    <row r="165" spans="2:44" x14ac:dyDescent="0.25">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15300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15300</v>
      </c>
      <c r="G171" s="183"/>
      <c r="H171" s="183">
        <f t="shared" si="468"/>
        <v>15300</v>
      </c>
      <c r="I171" s="183"/>
      <c r="J171" s="183">
        <f t="shared" si="469"/>
        <v>15300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6300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2650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18750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v>
      </c>
      <c r="AI171" s="183">
        <f t="shared" si="471"/>
        <v>800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19550</v>
      </c>
    </row>
    <row r="172" spans="2:44" x14ac:dyDescent="0.25">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17200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17200</v>
      </c>
      <c r="G186" s="183"/>
      <c r="H186" s="183">
        <f t="shared" ref="H186:H189" si="484">F186-G186</f>
        <v>17200</v>
      </c>
      <c r="I186" s="183"/>
      <c r="J186" s="183">
        <f t="shared" ref="J186:J189" si="485">F186-I186</f>
        <v>17200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9200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17200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17200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17200</v>
      </c>
    </row>
    <row r="187" spans="2:44" x14ac:dyDescent="0.25">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24500</v>
      </c>
      <c r="G187" s="183"/>
      <c r="H187" s="183">
        <f t="shared" si="484"/>
        <v>24500</v>
      </c>
      <c r="I187" s="183"/>
      <c r="J187" s="183">
        <f t="shared" si="485"/>
        <v>24500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E187" s="183">
        <f t="shared" si="486"/>
        <v>24500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24500</v>
      </c>
    </row>
    <row r="188" spans="2:44" x14ac:dyDescent="0.25">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298</v>
      </c>
      <c r="C190" s="191" t="s">
        <v>178</v>
      </c>
      <c r="D190" s="192">
        <f>D191+D199</f>
        <v>251079.74924999999</v>
      </c>
      <c r="E190" s="192">
        <f>E191+E199</f>
        <v>0</v>
      </c>
      <c r="F190" s="192">
        <f t="shared" si="300"/>
        <v>251079.74924999999</v>
      </c>
      <c r="G190" s="192">
        <f>G191+G199</f>
        <v>0</v>
      </c>
      <c r="H190" s="192">
        <f t="shared" si="4"/>
        <v>251079.74924999999</v>
      </c>
      <c r="I190" s="192">
        <f>I191+I199</f>
        <v>0</v>
      </c>
      <c r="J190" s="192">
        <f t="shared" si="5"/>
        <v>251079.74924999999</v>
      </c>
      <c r="K190" s="192">
        <f>K191+K199</f>
        <v>2000</v>
      </c>
      <c r="L190" s="192">
        <f t="shared" ref="L190:AA190" si="491">L191+L199</f>
        <v>114629.74925000001</v>
      </c>
      <c r="M190" s="192">
        <f t="shared" si="491"/>
        <v>0</v>
      </c>
      <c r="N190" s="192">
        <f t="shared" si="491"/>
        <v>37850</v>
      </c>
      <c r="O190" s="192">
        <f t="shared" si="491"/>
        <v>4950</v>
      </c>
      <c r="P190" s="192">
        <f t="shared" si="491"/>
        <v>0</v>
      </c>
      <c r="Q190" s="192">
        <f t="shared" si="491"/>
        <v>0</v>
      </c>
      <c r="R190" s="192">
        <f t="shared" si="491"/>
        <v>0</v>
      </c>
      <c r="S190" s="192">
        <f t="shared" si="491"/>
        <v>0</v>
      </c>
      <c r="T190" s="192">
        <f t="shared" si="491"/>
        <v>0</v>
      </c>
      <c r="U190" s="192">
        <f t="shared" si="491"/>
        <v>62000</v>
      </c>
      <c r="V190" s="192">
        <f t="shared" si="491"/>
        <v>0</v>
      </c>
      <c r="W190" s="192">
        <f t="shared" si="491"/>
        <v>0</v>
      </c>
      <c r="X190" s="192">
        <f t="shared" si="491"/>
        <v>55959.050999999999</v>
      </c>
      <c r="Y190" s="192">
        <f t="shared" ref="Y190:Z190" si="492">Y191+Y199</f>
        <v>0</v>
      </c>
      <c r="Z190" s="192">
        <f t="shared" si="492"/>
        <v>0</v>
      </c>
      <c r="AA190" s="192">
        <f t="shared" si="491"/>
        <v>13650</v>
      </c>
      <c r="AB190" s="192">
        <f t="shared" ref="AB190" si="493">AB191+AB199</f>
        <v>146729.74924999999</v>
      </c>
      <c r="AC190" s="192">
        <f t="shared" ref="AC190" si="494">AC191+AC199</f>
        <v>109309.05100000001</v>
      </c>
      <c r="AD190" s="192">
        <f t="shared" ref="AD190" si="495">AD191+AD199</f>
        <v>13000</v>
      </c>
      <c r="AE190" s="192">
        <f t="shared" si="9"/>
        <v>269038.80024999997</v>
      </c>
      <c r="AF190" s="192">
        <f t="shared" ref="AF190" si="496">AF191+AF199</f>
        <v>0</v>
      </c>
      <c r="AG190" s="192">
        <f t="shared" ref="AG190" si="497">AG191+AG199</f>
        <v>20000</v>
      </c>
      <c r="AH190" s="192">
        <f t="shared" ref="AH190" si="498">AH191+AH199</f>
        <v>0</v>
      </c>
      <c r="AI190" s="192">
        <f t="shared" si="10"/>
        <v>20000</v>
      </c>
      <c r="AJ190" s="192">
        <f t="shared" ref="AJ190" si="499">AJ191+AJ199</f>
        <v>0</v>
      </c>
      <c r="AK190" s="192">
        <f t="shared" ref="AK190" si="500">AK191+AK199</f>
        <v>0</v>
      </c>
      <c r="AL190" s="192">
        <f t="shared" ref="AL190" si="501">AL191+AL199</f>
        <v>2000</v>
      </c>
      <c r="AM190" s="192">
        <f t="shared" si="11"/>
        <v>2000</v>
      </c>
      <c r="AN190" s="192">
        <f t="shared" ref="AN190" si="502">AN191+AN199</f>
        <v>0</v>
      </c>
      <c r="AO190" s="192">
        <f t="shared" ref="AO190" si="503">AO191+AO199</f>
        <v>0</v>
      </c>
      <c r="AP190" s="192">
        <f t="shared" ref="AP190" si="504">AP191+AP199</f>
        <v>0</v>
      </c>
      <c r="AQ190" s="192">
        <f t="shared" si="12"/>
        <v>0</v>
      </c>
      <c r="AR190" s="192">
        <f t="shared" si="13"/>
        <v>291038.80024999997</v>
      </c>
    </row>
    <row r="191" spans="2:44" x14ac:dyDescent="0.25">
      <c r="B191" s="190" t="s">
        <v>299</v>
      </c>
      <c r="C191" s="191" t="s">
        <v>179</v>
      </c>
      <c r="D191" s="192">
        <f>SUM(D192:D198)</f>
        <v>45000</v>
      </c>
      <c r="E191" s="192">
        <f>SUM(E192:E198)</f>
        <v>0</v>
      </c>
      <c r="F191" s="192">
        <f>D191+E191</f>
        <v>45000</v>
      </c>
      <c r="G191" s="192">
        <f>SUM(G192:G198)</f>
        <v>0</v>
      </c>
      <c r="H191" s="192">
        <f>F191-G191</f>
        <v>45000</v>
      </c>
      <c r="I191" s="192">
        <f>SUM(I192:I198)</f>
        <v>0</v>
      </c>
      <c r="J191" s="192">
        <f>F191-I191</f>
        <v>45000</v>
      </c>
      <c r="K191" s="192">
        <f t="shared" ref="K191:AD191" si="505">SUM(K192:K198)</f>
        <v>0</v>
      </c>
      <c r="L191" s="192">
        <f t="shared" si="505"/>
        <v>45000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17600</v>
      </c>
      <c r="Y191" s="192">
        <f t="shared" ref="Y191:Z191" si="509">SUM(Y192:Y198)</f>
        <v>0</v>
      </c>
      <c r="Z191" s="192">
        <f t="shared" si="509"/>
        <v>0</v>
      </c>
      <c r="AA191" s="192">
        <f t="shared" si="505"/>
        <v>0</v>
      </c>
      <c r="AB191" s="192">
        <f t="shared" si="505"/>
        <v>0</v>
      </c>
      <c r="AC191" s="192">
        <f t="shared" si="505"/>
        <v>62600</v>
      </c>
      <c r="AD191" s="192">
        <f t="shared" si="505"/>
        <v>0</v>
      </c>
      <c r="AE191" s="192">
        <f>AB191+AC191+AD191</f>
        <v>62600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62600</v>
      </c>
    </row>
    <row r="192" spans="2:44" x14ac:dyDescent="0.25">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45000</v>
      </c>
      <c r="G196" s="183"/>
      <c r="H196" s="183">
        <f t="shared" si="519"/>
        <v>45000</v>
      </c>
      <c r="I196" s="183"/>
      <c r="J196" s="183">
        <f t="shared" si="520"/>
        <v>45000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17600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62600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62600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62600</v>
      </c>
    </row>
    <row r="197" spans="2:44" x14ac:dyDescent="0.25">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300</v>
      </c>
      <c r="C199" s="191" t="s">
        <v>180</v>
      </c>
      <c r="D199" s="192">
        <f>SUM(D200:D206)</f>
        <v>206079.74924999999</v>
      </c>
      <c r="E199" s="192">
        <f>SUM(E200:E206)</f>
        <v>0</v>
      </c>
      <c r="F199" s="192">
        <f>D199+E199</f>
        <v>206079.74924999999</v>
      </c>
      <c r="G199" s="192">
        <f t="shared" ref="G199:I199" si="535">SUM(G200:G206)</f>
        <v>0</v>
      </c>
      <c r="H199" s="192">
        <f>F199-G199</f>
        <v>206079.74924999999</v>
      </c>
      <c r="I199" s="192">
        <f t="shared" si="535"/>
        <v>0</v>
      </c>
      <c r="J199" s="192">
        <f>F199-I199</f>
        <v>206079.74924999999</v>
      </c>
      <c r="K199" s="192">
        <f t="shared" ref="K199:AP199" si="536">SUM(K200:K206)</f>
        <v>2000</v>
      </c>
      <c r="L199" s="192">
        <f t="shared" si="536"/>
        <v>69629.749250000008</v>
      </c>
      <c r="M199" s="192">
        <f t="shared" si="536"/>
        <v>0</v>
      </c>
      <c r="N199" s="192">
        <f t="shared" si="536"/>
        <v>37850</v>
      </c>
      <c r="O199" s="192">
        <f t="shared" si="536"/>
        <v>4950</v>
      </c>
      <c r="P199" s="192">
        <f t="shared" ref="P199:Q199" si="537">SUM(P200:P206)</f>
        <v>0</v>
      </c>
      <c r="Q199" s="192">
        <f t="shared" si="537"/>
        <v>0</v>
      </c>
      <c r="R199" s="192">
        <f t="shared" si="536"/>
        <v>0</v>
      </c>
      <c r="S199" s="192">
        <f t="shared" si="536"/>
        <v>0</v>
      </c>
      <c r="T199" s="192">
        <f t="shared" ref="T199" si="538">SUM(T200:T206)</f>
        <v>0</v>
      </c>
      <c r="U199" s="192">
        <f t="shared" si="536"/>
        <v>62000</v>
      </c>
      <c r="V199" s="192">
        <f t="shared" si="536"/>
        <v>0</v>
      </c>
      <c r="W199" s="192">
        <f t="shared" ref="W199" si="539">SUM(W200:W206)</f>
        <v>0</v>
      </c>
      <c r="X199" s="192">
        <f t="shared" si="536"/>
        <v>38359.050999999999</v>
      </c>
      <c r="Y199" s="192">
        <f t="shared" ref="Y199:Z199" si="540">SUM(Y200:Y206)</f>
        <v>0</v>
      </c>
      <c r="Z199" s="192">
        <f t="shared" si="540"/>
        <v>0</v>
      </c>
      <c r="AA199" s="192">
        <f t="shared" si="536"/>
        <v>13650</v>
      </c>
      <c r="AB199" s="192">
        <f t="shared" si="536"/>
        <v>146729.74924999999</v>
      </c>
      <c r="AC199" s="192">
        <f t="shared" si="536"/>
        <v>46709.050999999999</v>
      </c>
      <c r="AD199" s="192">
        <f t="shared" si="536"/>
        <v>13000</v>
      </c>
      <c r="AE199" s="192">
        <f>AB199+AC199+AD199</f>
        <v>206438.80025</v>
      </c>
      <c r="AF199" s="192">
        <f t="shared" si="536"/>
        <v>0</v>
      </c>
      <c r="AG199" s="192">
        <f t="shared" si="536"/>
        <v>20000</v>
      </c>
      <c r="AH199" s="192">
        <f t="shared" si="536"/>
        <v>0</v>
      </c>
      <c r="AI199" s="192">
        <f>AF199+AG199+AH199</f>
        <v>20000</v>
      </c>
      <c r="AJ199" s="192">
        <f t="shared" si="536"/>
        <v>0</v>
      </c>
      <c r="AK199" s="192">
        <f t="shared" si="536"/>
        <v>0</v>
      </c>
      <c r="AL199" s="192">
        <f t="shared" si="536"/>
        <v>2000</v>
      </c>
      <c r="AM199" s="192">
        <f>AJ199+AK199+AL199</f>
        <v>2000</v>
      </c>
      <c r="AN199" s="192">
        <f t="shared" si="536"/>
        <v>0</v>
      </c>
      <c r="AO199" s="192">
        <f t="shared" si="536"/>
        <v>0</v>
      </c>
      <c r="AP199" s="192">
        <f t="shared" si="536"/>
        <v>0</v>
      </c>
      <c r="AQ199" s="192">
        <f>AN199+AO199+AP199</f>
        <v>0</v>
      </c>
      <c r="AR199" s="192">
        <f>AE199+AI199+AM199+AQ199</f>
        <v>228438.80025</v>
      </c>
    </row>
    <row r="200" spans="2:44" x14ac:dyDescent="0.25">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122275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122275</v>
      </c>
      <c r="G201" s="183"/>
      <c r="H201" s="183">
        <f t="shared" si="541"/>
        <v>122275</v>
      </c>
      <c r="I201" s="183"/>
      <c r="J201" s="183">
        <f t="shared" si="542"/>
        <v>122275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10175</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32100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62000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87275</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201" s="183">
        <f t="shared" si="543"/>
        <v>100275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20000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M201" s="183">
        <f t="shared" si="545"/>
        <v>2000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122275</v>
      </c>
    </row>
    <row r="202" spans="2:44" x14ac:dyDescent="0.25">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24350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24350</v>
      </c>
      <c r="G202" s="183"/>
      <c r="H202" s="183">
        <f t="shared" ref="H202:H204" si="549">F202-G202</f>
        <v>24350</v>
      </c>
      <c r="I202" s="183"/>
      <c r="J202" s="183">
        <f t="shared" ref="J202:J204" si="550">F202-I202</f>
        <v>24350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13650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23350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E202" s="183">
        <f t="shared" ref="AE202:AE204" si="551">AB202+AC202+AD202</f>
        <v>24350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24350</v>
      </c>
    </row>
    <row r="203" spans="2:44" x14ac:dyDescent="0.25">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59454.749250000008</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59454.749250000008</v>
      </c>
      <c r="G204" s="183"/>
      <c r="H204" s="183">
        <f t="shared" si="549"/>
        <v>59454.749250000008</v>
      </c>
      <c r="I204" s="183"/>
      <c r="J204" s="183">
        <f t="shared" si="550"/>
        <v>59454.749250000008</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59454.749250000008</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22359.050999999999</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59454.749250000008</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22359.050999999999</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81813.80025</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81813.80025</v>
      </c>
    </row>
    <row r="205" spans="2:44" x14ac:dyDescent="0.25">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308</v>
      </c>
      <c r="C222" s="179" t="s">
        <v>187</v>
      </c>
      <c r="D222" s="180">
        <f>D223+D235+D243+D260+D267+D312</f>
        <v>218121</v>
      </c>
      <c r="E222" s="180">
        <f>E223+E235+E243+E260+E267+E312</f>
        <v>304078</v>
      </c>
      <c r="F222" s="180">
        <f t="shared" ref="F222:F382" si="622">D222+E222</f>
        <v>522199</v>
      </c>
      <c r="G222" s="180">
        <f>G223+G235+G243+G260+G267+G312</f>
        <v>0</v>
      </c>
      <c r="H222" s="180">
        <f t="shared" ref="H222:H498" si="623">F222-G222</f>
        <v>522199</v>
      </c>
      <c r="I222" s="180">
        <f>I223+I235+I243+I260+I267+I312</f>
        <v>0</v>
      </c>
      <c r="J222" s="180">
        <f t="shared" ref="J222:J498" si="624">F222-I222</f>
        <v>522199</v>
      </c>
      <c r="K222" s="180">
        <f t="shared" ref="K222:AD222" si="625">K223+K235+K243+K260+K267+K312</f>
        <v>1200</v>
      </c>
      <c r="L222" s="180">
        <f t="shared" si="625"/>
        <v>11200</v>
      </c>
      <c r="M222" s="180">
        <f t="shared" si="625"/>
        <v>43370</v>
      </c>
      <c r="N222" s="180">
        <f t="shared" si="625"/>
        <v>10550</v>
      </c>
      <c r="O222" s="180">
        <f t="shared" si="625"/>
        <v>46500</v>
      </c>
      <c r="P222" s="180">
        <f t="shared" si="625"/>
        <v>0</v>
      </c>
      <c r="Q222" s="180">
        <f t="shared" si="625"/>
        <v>0</v>
      </c>
      <c r="R222" s="180">
        <f t="shared" si="625"/>
        <v>0</v>
      </c>
      <c r="S222" s="180">
        <f t="shared" si="625"/>
        <v>0</v>
      </c>
      <c r="T222" s="180">
        <f t="shared" ref="T222" si="626">T223+T235+T243+T260+T267+T312</f>
        <v>0</v>
      </c>
      <c r="U222" s="180">
        <f t="shared" si="625"/>
        <v>402249</v>
      </c>
      <c r="V222" s="180">
        <f t="shared" si="625"/>
        <v>0</v>
      </c>
      <c r="W222" s="180">
        <f t="shared" si="625"/>
        <v>0</v>
      </c>
      <c r="X222" s="180">
        <f t="shared" si="625"/>
        <v>5100</v>
      </c>
      <c r="Y222" s="180">
        <f t="shared" ref="Y222:Z222" si="627">Y223+Y235+Y243+Y260+Y267+Y312</f>
        <v>0</v>
      </c>
      <c r="Z222" s="180">
        <f t="shared" si="627"/>
        <v>0</v>
      </c>
      <c r="AA222" s="180">
        <f t="shared" si="625"/>
        <v>7750</v>
      </c>
      <c r="AB222" s="180">
        <f t="shared" si="625"/>
        <v>48000</v>
      </c>
      <c r="AC222" s="180">
        <f t="shared" si="625"/>
        <v>323628</v>
      </c>
      <c r="AD222" s="180">
        <f t="shared" si="625"/>
        <v>9021</v>
      </c>
      <c r="AE222" s="180">
        <f t="shared" ref="AE222:AE498" si="628">AB222+AC222+AD222</f>
        <v>380649</v>
      </c>
      <c r="AF222" s="180">
        <f>AF223+AF235+AF243+AF260+AF267+AF312</f>
        <v>30770</v>
      </c>
      <c r="AG222" s="180">
        <f>AG223+AG235+AG243+AG260+AG267+AG312</f>
        <v>7500</v>
      </c>
      <c r="AH222" s="180">
        <f>AH223+AH235+AH243+AH260+AH267+AH312</f>
        <v>8400</v>
      </c>
      <c r="AI222" s="180">
        <f t="shared" ref="AI222:AI498" si="629">AF222+AG222+AH222</f>
        <v>46670</v>
      </c>
      <c r="AJ222" s="180">
        <f>AJ223+AJ235+AJ243+AJ260+AJ267+AJ312</f>
        <v>40200</v>
      </c>
      <c r="AK222" s="180">
        <f>AK223+AK235+AK243+AK260+AK267+AK312</f>
        <v>39300</v>
      </c>
      <c r="AL222" s="180">
        <f>AL223+AL235+AL243+AL260+AL267+AL312</f>
        <v>6100</v>
      </c>
      <c r="AM222" s="180">
        <f t="shared" ref="AM222:AM498" si="630">AJ222+AK222+AL222</f>
        <v>85600</v>
      </c>
      <c r="AN222" s="180">
        <f>AN223+AN235+AN243+AN260+AN267+AN312</f>
        <v>0</v>
      </c>
      <c r="AO222" s="180">
        <f>AO223+AO235+AO243+AO260+AO267+AO312</f>
        <v>15000</v>
      </c>
      <c r="AP222" s="180">
        <f>AP223+AP235+AP243+AP260+AP267+AP312</f>
        <v>0</v>
      </c>
      <c r="AQ222" s="180">
        <f t="shared" ref="AQ222:AQ498" si="631">AN222+AO222+AP222</f>
        <v>15000</v>
      </c>
      <c r="AR222" s="180">
        <f t="shared" ref="AR222:AR498" si="632">AE222+AI222+AM222+AQ222</f>
        <v>527919</v>
      </c>
    </row>
    <row r="223" spans="2:44" x14ac:dyDescent="0.25">
      <c r="B223" s="190" t="s">
        <v>309</v>
      </c>
      <c r="C223" s="191" t="s">
        <v>188</v>
      </c>
      <c r="D223" s="192">
        <f>SUM(D224:D234)</f>
        <v>64050</v>
      </c>
      <c r="E223" s="192">
        <f>SUM(E224:E234)</f>
        <v>0</v>
      </c>
      <c r="F223" s="192">
        <f t="shared" si="622"/>
        <v>64050</v>
      </c>
      <c r="G223" s="192">
        <f>SUM(G224:G234)</f>
        <v>0</v>
      </c>
      <c r="H223" s="192">
        <f t="shared" si="623"/>
        <v>64050</v>
      </c>
      <c r="I223" s="192">
        <f>SUM(I224:I234)</f>
        <v>0</v>
      </c>
      <c r="J223" s="192">
        <f t="shared" si="624"/>
        <v>64050</v>
      </c>
      <c r="K223" s="192">
        <f t="shared" ref="K223:AD223" si="633">SUM(K224:K234)</f>
        <v>0</v>
      </c>
      <c r="L223" s="192">
        <f t="shared" si="633"/>
        <v>7000</v>
      </c>
      <c r="M223" s="192">
        <f t="shared" si="633"/>
        <v>17770</v>
      </c>
      <c r="N223" s="192">
        <f t="shared" si="633"/>
        <v>4350</v>
      </c>
      <c r="O223" s="192">
        <f t="shared" si="633"/>
        <v>33500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7150</v>
      </c>
      <c r="AB223" s="192">
        <f t="shared" si="633"/>
        <v>0</v>
      </c>
      <c r="AC223" s="192">
        <f t="shared" si="633"/>
        <v>28250</v>
      </c>
      <c r="AD223" s="192">
        <f t="shared" si="633"/>
        <v>3550</v>
      </c>
      <c r="AE223" s="192">
        <f t="shared" si="628"/>
        <v>31800</v>
      </c>
      <c r="AF223" s="192">
        <f>SUM(AF224:AF234)</f>
        <v>30770</v>
      </c>
      <c r="AG223" s="192">
        <f>SUM(AG224:AG234)</f>
        <v>0</v>
      </c>
      <c r="AH223" s="192">
        <f>SUM(AH224:AH234)</f>
        <v>7200</v>
      </c>
      <c r="AI223" s="192">
        <f t="shared" si="629"/>
        <v>37970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69770</v>
      </c>
    </row>
    <row r="224" spans="2:44" x14ac:dyDescent="0.25">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64050</v>
      </c>
      <c r="G225" s="183"/>
      <c r="H225" s="183">
        <f t="shared" si="623"/>
        <v>64050</v>
      </c>
      <c r="I225" s="183"/>
      <c r="J225" s="183">
        <f t="shared" si="624"/>
        <v>64050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17770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4350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28250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3550</v>
      </c>
      <c r="AE225" s="183">
        <f t="shared" si="628"/>
        <v>31800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30770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I225" s="183">
        <f t="shared" si="629"/>
        <v>37970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69770</v>
      </c>
    </row>
    <row r="226" spans="2:44" x14ac:dyDescent="0.25">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314</v>
      </c>
      <c r="C243" s="191" t="s">
        <v>191</v>
      </c>
      <c r="D243" s="192">
        <f>SUM(D244:D259)</f>
        <v>39300</v>
      </c>
      <c r="E243" s="192">
        <f>SUM(E244:E259)</f>
        <v>40200</v>
      </c>
      <c r="F243" s="192">
        <f t="shared" si="622"/>
        <v>79500</v>
      </c>
      <c r="G243" s="192">
        <f>SUM(G244:G259)</f>
        <v>0</v>
      </c>
      <c r="H243" s="192">
        <f t="shared" si="623"/>
        <v>79500</v>
      </c>
      <c r="I243" s="192">
        <f>SUM(I244:I259)</f>
        <v>0</v>
      </c>
      <c r="J243" s="192">
        <f t="shared" si="624"/>
        <v>79500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79500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40200</v>
      </c>
      <c r="AK243" s="192">
        <f>SUM(AK244:AK259)</f>
        <v>39300</v>
      </c>
      <c r="AL243" s="192">
        <f>SUM(AL244:AL259)</f>
        <v>0</v>
      </c>
      <c r="AM243" s="192">
        <f t="shared" si="630"/>
        <v>79500</v>
      </c>
      <c r="AN243" s="192">
        <f>SUM(AN244:AN259)</f>
        <v>0</v>
      </c>
      <c r="AO243" s="192">
        <f>SUM(AO244:AO259)</f>
        <v>0</v>
      </c>
      <c r="AP243" s="192">
        <f>SUM(AP244:AP259)</f>
        <v>0</v>
      </c>
      <c r="AQ243" s="192">
        <f t="shared" si="631"/>
        <v>0</v>
      </c>
      <c r="AR243" s="192">
        <f t="shared" si="632"/>
        <v>79500</v>
      </c>
    </row>
    <row r="244" spans="2:44" x14ac:dyDescent="0.25">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39300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40200</v>
      </c>
      <c r="F251" s="183">
        <f t="shared" si="694"/>
        <v>79500</v>
      </c>
      <c r="G251" s="183"/>
      <c r="H251" s="183">
        <f t="shared" si="695"/>
        <v>79500</v>
      </c>
      <c r="I251" s="183"/>
      <c r="J251" s="183">
        <f t="shared" si="696"/>
        <v>79500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79500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40200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39300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79500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79500</v>
      </c>
    </row>
    <row r="252" spans="2:44" x14ac:dyDescent="0.25">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319</v>
      </c>
      <c r="C260" s="191" t="s">
        <v>196</v>
      </c>
      <c r="D260" s="192">
        <f>SUM(D261:D266)</f>
        <v>560</v>
      </c>
      <c r="E260" s="192">
        <f>SUM(E261:E266)</f>
        <v>0</v>
      </c>
      <c r="F260" s="192">
        <f t="shared" si="622"/>
        <v>560</v>
      </c>
      <c r="G260" s="192">
        <f>SUM(G261:G266)</f>
        <v>0</v>
      </c>
      <c r="H260" s="192">
        <f t="shared" si="623"/>
        <v>560</v>
      </c>
      <c r="I260" s="192">
        <f>SUM(I261:I266)</f>
        <v>0</v>
      </c>
      <c r="J260" s="192">
        <f t="shared" si="624"/>
        <v>560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560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560</v>
      </c>
      <c r="AE260" s="192">
        <f t="shared" si="628"/>
        <v>560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560</v>
      </c>
    </row>
    <row r="261" spans="2:44" x14ac:dyDescent="0.25">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560</v>
      </c>
      <c r="G264" s="183"/>
      <c r="H264" s="183">
        <f t="shared" ref="H264:H266" si="716">F264-G264</f>
        <v>560</v>
      </c>
      <c r="I264" s="183"/>
      <c r="J264" s="183">
        <f t="shared" ref="J264:J266" si="717">F264-I264</f>
        <v>560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v>
      </c>
      <c r="AE264" s="183">
        <f t="shared" ref="AE264:AE266" si="718">AB264+AC264+AD264</f>
        <v>560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560</v>
      </c>
    </row>
    <row r="265" spans="2:44" x14ac:dyDescent="0.25">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321</v>
      </c>
      <c r="C267" s="191" t="s">
        <v>198</v>
      </c>
      <c r="D267" s="192">
        <f>SUM(D268:D311)</f>
        <v>100211</v>
      </c>
      <c r="E267" s="192">
        <f>SUM(E268:E311)</f>
        <v>61622</v>
      </c>
      <c r="F267" s="192">
        <f t="shared" si="622"/>
        <v>161833</v>
      </c>
      <c r="G267" s="192">
        <f>SUM(G268:G311)</f>
        <v>0</v>
      </c>
      <c r="H267" s="192">
        <f t="shared" si="623"/>
        <v>161833</v>
      </c>
      <c r="I267" s="192">
        <f>SUM(I268:I311)</f>
        <v>0</v>
      </c>
      <c r="J267" s="192">
        <f t="shared" si="624"/>
        <v>161833</v>
      </c>
      <c r="K267" s="192">
        <f t="shared" ref="K267:AD267" si="723">SUM(K268:K311)</f>
        <v>1200</v>
      </c>
      <c r="L267" s="192">
        <f t="shared" si="723"/>
        <v>4200</v>
      </c>
      <c r="M267" s="192">
        <f t="shared" si="723"/>
        <v>25600</v>
      </c>
      <c r="N267" s="192">
        <f t="shared" si="723"/>
        <v>6200</v>
      </c>
      <c r="O267" s="192">
        <f t="shared" si="723"/>
        <v>5000</v>
      </c>
      <c r="P267" s="192">
        <f t="shared" ref="P267:Q267" si="724">SUM(P268:P311)</f>
        <v>0</v>
      </c>
      <c r="Q267" s="192">
        <f t="shared" si="724"/>
        <v>0</v>
      </c>
      <c r="R267" s="192">
        <f t="shared" si="723"/>
        <v>0</v>
      </c>
      <c r="S267" s="192">
        <f t="shared" si="723"/>
        <v>0</v>
      </c>
      <c r="T267" s="192">
        <f t="shared" ref="T267" si="725">SUM(T268:T311)</f>
        <v>0</v>
      </c>
      <c r="U267" s="192">
        <f t="shared" si="723"/>
        <v>113933</v>
      </c>
      <c r="V267" s="192">
        <f t="shared" si="723"/>
        <v>0</v>
      </c>
      <c r="W267" s="192">
        <f t="shared" ref="W267" si="726">SUM(W268:W311)</f>
        <v>0</v>
      </c>
      <c r="X267" s="192">
        <f t="shared" si="723"/>
        <v>5100</v>
      </c>
      <c r="Y267" s="192">
        <f t="shared" ref="Y267:Z267" si="727">SUM(Y268:Y311)</f>
        <v>0</v>
      </c>
      <c r="Z267" s="192">
        <f t="shared" si="727"/>
        <v>0</v>
      </c>
      <c r="AA267" s="192">
        <f t="shared" si="723"/>
        <v>600</v>
      </c>
      <c r="AB267" s="192">
        <f t="shared" si="723"/>
        <v>48000</v>
      </c>
      <c r="AC267" s="192">
        <f t="shared" si="723"/>
        <v>106522</v>
      </c>
      <c r="AD267" s="192">
        <f t="shared" si="723"/>
        <v>4911</v>
      </c>
      <c r="AE267" s="192">
        <f t="shared" si="628"/>
        <v>159433</v>
      </c>
      <c r="AF267" s="192">
        <f>SUM(AF268:AF311)</f>
        <v>0</v>
      </c>
      <c r="AG267" s="192">
        <f>SUM(AG268:AG311)</f>
        <v>0</v>
      </c>
      <c r="AH267" s="192">
        <f>SUM(AH268:AH311)</f>
        <v>1200</v>
      </c>
      <c r="AI267" s="192">
        <f t="shared" si="629"/>
        <v>1200</v>
      </c>
      <c r="AJ267" s="192">
        <f>SUM(AJ268:AJ311)</f>
        <v>0</v>
      </c>
      <c r="AK267" s="192">
        <f>SUM(AK268:AK311)</f>
        <v>0</v>
      </c>
      <c r="AL267" s="192">
        <f>SUM(AL268:AL311)</f>
        <v>1200</v>
      </c>
      <c r="AM267" s="192">
        <f t="shared" si="630"/>
        <v>1200</v>
      </c>
      <c r="AN267" s="192">
        <f>SUM(AN268:AN311)</f>
        <v>0</v>
      </c>
      <c r="AO267" s="192">
        <f>SUM(AO268:AO311)</f>
        <v>0</v>
      </c>
      <c r="AP267" s="192">
        <f>SUM(AP268:AP311)</f>
        <v>0</v>
      </c>
      <c r="AQ267" s="192">
        <f t="shared" si="631"/>
        <v>0</v>
      </c>
      <c r="AR267" s="192">
        <f t="shared" si="632"/>
        <v>161833</v>
      </c>
    </row>
    <row r="268" spans="2:44" x14ac:dyDescent="0.25">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15000</v>
      </c>
      <c r="G270" s="183"/>
      <c r="H270" s="183">
        <f t="shared" si="729"/>
        <v>15000</v>
      </c>
      <c r="I270" s="183"/>
      <c r="J270" s="183">
        <f t="shared" si="730"/>
        <v>15000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15000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15000</v>
      </c>
    </row>
    <row r="271" spans="2:44" x14ac:dyDescent="0.25">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900</v>
      </c>
      <c r="G273" s="183"/>
      <c r="H273" s="183">
        <f t="shared" si="729"/>
        <v>900</v>
      </c>
      <c r="I273" s="183"/>
      <c r="J273" s="183">
        <f t="shared" si="730"/>
        <v>900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E273" s="183">
        <f t="shared" si="731"/>
        <v>900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900</v>
      </c>
    </row>
    <row r="274" spans="2:44" x14ac:dyDescent="0.25">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30100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30100</v>
      </c>
      <c r="G277" s="183"/>
      <c r="H277" s="183">
        <f t="shared" si="729"/>
        <v>30100</v>
      </c>
      <c r="I277" s="183"/>
      <c r="J277" s="183">
        <f t="shared" si="730"/>
        <v>30100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6200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25900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v>
      </c>
      <c r="AE277" s="183">
        <f t="shared" si="731"/>
        <v>27700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I277" s="183">
        <f t="shared" si="732"/>
        <v>1200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M277" s="183">
        <f t="shared" si="733"/>
        <v>1200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30100</v>
      </c>
    </row>
    <row r="278" spans="2:44" x14ac:dyDescent="0.25">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4000</v>
      </c>
      <c r="G284" s="183"/>
      <c r="H284" s="183">
        <f t="shared" si="729"/>
        <v>4000</v>
      </c>
      <c r="I284" s="183"/>
      <c r="J284" s="183">
        <f t="shared" si="730"/>
        <v>4000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4000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4000</v>
      </c>
    </row>
    <row r="285" spans="2:44" x14ac:dyDescent="0.25">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61622</v>
      </c>
      <c r="F289" s="183">
        <f t="shared" si="728"/>
        <v>61622</v>
      </c>
      <c r="G289" s="183"/>
      <c r="H289" s="183">
        <f t="shared" si="729"/>
        <v>61622</v>
      </c>
      <c r="I289" s="183"/>
      <c r="J289" s="183">
        <f t="shared" si="730"/>
        <v>61622</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61622</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61622</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61622</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61622</v>
      </c>
    </row>
    <row r="290" spans="2:44" x14ac:dyDescent="0.25">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28000</v>
      </c>
      <c r="G291" s="183"/>
      <c r="H291" s="183">
        <f t="shared" si="729"/>
        <v>28000</v>
      </c>
      <c r="I291" s="183"/>
      <c r="J291" s="183">
        <f t="shared" si="730"/>
        <v>28000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28000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28000</v>
      </c>
    </row>
    <row r="292" spans="2:44" x14ac:dyDescent="0.25">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2211</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2211</v>
      </c>
      <c r="G294" s="183"/>
      <c r="H294" s="183">
        <f t="shared" si="729"/>
        <v>2211</v>
      </c>
      <c r="I294" s="183"/>
      <c r="J294" s="183">
        <f t="shared" si="730"/>
        <v>2211</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2211</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2211</v>
      </c>
      <c r="AE294" s="183">
        <f t="shared" si="731"/>
        <v>2211</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2211</v>
      </c>
    </row>
    <row r="295" spans="2:44" x14ac:dyDescent="0.25">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20000</v>
      </c>
      <c r="G302" s="183"/>
      <c r="H302" s="183">
        <f t="shared" si="623"/>
        <v>20000</v>
      </c>
      <c r="I302" s="183"/>
      <c r="J302" s="183">
        <f t="shared" si="624"/>
        <v>20000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20000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20000</v>
      </c>
    </row>
    <row r="303" spans="2:44" x14ac:dyDescent="0.25">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325</v>
      </c>
      <c r="C312" s="191" t="s">
        <v>199</v>
      </c>
      <c r="D312" s="192">
        <f>SUM(D313:D326)</f>
        <v>14000</v>
      </c>
      <c r="E312" s="192">
        <f>SUM(E313:E326)</f>
        <v>202256</v>
      </c>
      <c r="F312" s="192">
        <f t="shared" si="622"/>
        <v>216256</v>
      </c>
      <c r="G312" s="192">
        <f>SUM(G313:G326)</f>
        <v>0</v>
      </c>
      <c r="H312" s="192">
        <f t="shared" si="623"/>
        <v>216256</v>
      </c>
      <c r="I312" s="192">
        <f>SUM(I313:I326)</f>
        <v>0</v>
      </c>
      <c r="J312" s="192">
        <f t="shared" si="624"/>
        <v>216256</v>
      </c>
      <c r="K312" s="192">
        <f t="shared" ref="K312:AD312" si="744">SUM(K313:K326)</f>
        <v>0</v>
      </c>
      <c r="L312" s="192">
        <f t="shared" si="744"/>
        <v>0</v>
      </c>
      <c r="M312" s="192">
        <f t="shared" si="744"/>
        <v>0</v>
      </c>
      <c r="N312" s="192">
        <f t="shared" si="744"/>
        <v>0</v>
      </c>
      <c r="O312" s="192">
        <f t="shared" si="744"/>
        <v>8000</v>
      </c>
      <c r="P312" s="192">
        <f t="shared" ref="P312:Q312" si="745">SUM(P313:P326)</f>
        <v>0</v>
      </c>
      <c r="Q312" s="192">
        <f t="shared" si="745"/>
        <v>0</v>
      </c>
      <c r="R312" s="192">
        <f t="shared" si="744"/>
        <v>0</v>
      </c>
      <c r="S312" s="192">
        <f t="shared" si="744"/>
        <v>0</v>
      </c>
      <c r="T312" s="192">
        <f t="shared" ref="T312" si="746">SUM(T313:T326)</f>
        <v>0</v>
      </c>
      <c r="U312" s="192">
        <f t="shared" si="744"/>
        <v>208256</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188856</v>
      </c>
      <c r="AD312" s="192">
        <f t="shared" si="744"/>
        <v>0</v>
      </c>
      <c r="AE312" s="192">
        <f t="shared" si="628"/>
        <v>188856</v>
      </c>
      <c r="AF312" s="192">
        <f>SUM(AF313:AF326)</f>
        <v>0</v>
      </c>
      <c r="AG312" s="192">
        <f>SUM(AG313:AG326)</f>
        <v>7500</v>
      </c>
      <c r="AH312" s="192">
        <f>SUM(AH313:AH326)</f>
        <v>0</v>
      </c>
      <c r="AI312" s="192">
        <f t="shared" si="629"/>
        <v>7500</v>
      </c>
      <c r="AJ312" s="192">
        <f>SUM(AJ313:AJ326)</f>
        <v>0</v>
      </c>
      <c r="AK312" s="192">
        <f>SUM(AK313:AK326)</f>
        <v>0</v>
      </c>
      <c r="AL312" s="192">
        <f>SUM(AL313:AL326)</f>
        <v>4900</v>
      </c>
      <c r="AM312" s="192">
        <f t="shared" si="630"/>
        <v>4900</v>
      </c>
      <c r="AN312" s="192">
        <f>SUM(AN313:AN326)</f>
        <v>0</v>
      </c>
      <c r="AO312" s="192">
        <f>SUM(AO313:AO326)</f>
        <v>15000</v>
      </c>
      <c r="AP312" s="192">
        <f>SUM(AP313:AP326)</f>
        <v>0</v>
      </c>
      <c r="AQ312" s="192">
        <f t="shared" si="631"/>
        <v>15000</v>
      </c>
      <c r="AR312" s="192">
        <f t="shared" si="632"/>
        <v>216256</v>
      </c>
    </row>
    <row r="313" spans="2:44" x14ac:dyDescent="0.25">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8000</v>
      </c>
      <c r="G316" s="183"/>
      <c r="H316" s="183">
        <f t="shared" si="623"/>
        <v>8000</v>
      </c>
      <c r="I316" s="183"/>
      <c r="J316" s="183">
        <f t="shared" si="624"/>
        <v>8000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8000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8000</v>
      </c>
    </row>
    <row r="317" spans="2:44" x14ac:dyDescent="0.25">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v>
      </c>
      <c r="F317" s="183">
        <f t="shared" si="622"/>
        <v>16500</v>
      </c>
      <c r="G317" s="183"/>
      <c r="H317" s="183">
        <f t="shared" si="623"/>
        <v>16500</v>
      </c>
      <c r="I317" s="183"/>
      <c r="J317" s="183">
        <f t="shared" si="624"/>
        <v>16500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1500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15000</v>
      </c>
      <c r="AR317" s="183">
        <f t="shared" si="632"/>
        <v>16500</v>
      </c>
    </row>
    <row r="318" spans="2:44" x14ac:dyDescent="0.25">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185756</v>
      </c>
      <c r="F320" s="183">
        <f t="shared" ref="F320:F323" si="757">D320+E320</f>
        <v>191756</v>
      </c>
      <c r="G320" s="183"/>
      <c r="H320" s="183">
        <f t="shared" ref="H320:H323" si="758">F320-G320</f>
        <v>191756</v>
      </c>
      <c r="I320" s="183"/>
      <c r="J320" s="183">
        <f t="shared" ref="J320:J323" si="759">F320-I320</f>
        <v>191756</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191756</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180856</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180856</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6000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v>
      </c>
      <c r="AM320" s="183">
        <f t="shared" ref="AM320:AM323" si="762">AJ320+AK320+AL320</f>
        <v>4900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191756</v>
      </c>
    </row>
    <row r="321" spans="2:44" x14ac:dyDescent="0.25">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329</v>
      </c>
      <c r="C327" s="179" t="s">
        <v>201</v>
      </c>
      <c r="D327" s="180">
        <f>D328+D345+D383+D389</f>
        <v>29000</v>
      </c>
      <c r="E327" s="180">
        <f>E328+E345+E383+E389</f>
        <v>9012022.5203017462</v>
      </c>
      <c r="F327" s="180">
        <f t="shared" si="622"/>
        <v>9041022.5203017462</v>
      </c>
      <c r="G327" s="180">
        <f>G328+G345+G383+G389</f>
        <v>0</v>
      </c>
      <c r="H327" s="180">
        <f t="shared" si="623"/>
        <v>9041022.5203017462</v>
      </c>
      <c r="I327" s="180">
        <f>I328+I345+I383+I389</f>
        <v>0</v>
      </c>
      <c r="J327" s="180">
        <f t="shared" si="624"/>
        <v>9041022.5203017462</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9041022.5203017462</v>
      </c>
      <c r="V327" s="180">
        <f t="shared" si="781"/>
        <v>0</v>
      </c>
      <c r="W327" s="180">
        <f t="shared" si="781"/>
        <v>0</v>
      </c>
      <c r="X327" s="180">
        <f t="shared" si="781"/>
        <v>0</v>
      </c>
      <c r="Y327" s="180">
        <f t="shared" ref="Y327:Z327" si="783">Y328+Y345+Y383+Y389</f>
        <v>0</v>
      </c>
      <c r="Z327" s="180">
        <f t="shared" si="783"/>
        <v>0</v>
      </c>
      <c r="AA327" s="180">
        <f t="shared" si="781"/>
        <v>0</v>
      </c>
      <c r="AB327" s="180">
        <f t="shared" si="781"/>
        <v>335000</v>
      </c>
      <c r="AC327" s="180">
        <f t="shared" si="781"/>
        <v>2214400</v>
      </c>
      <c r="AD327" s="180">
        <f t="shared" si="781"/>
        <v>453100</v>
      </c>
      <c r="AE327" s="180">
        <f t="shared" si="628"/>
        <v>3002500</v>
      </c>
      <c r="AF327" s="180">
        <f>AF328+AF345+AF383+AF389</f>
        <v>0</v>
      </c>
      <c r="AG327" s="180">
        <f>AG328+AG345+AG383+AG389</f>
        <v>2546888.9699999997</v>
      </c>
      <c r="AH327" s="180">
        <f>AH328+AH345+AH383+AH389</f>
        <v>0</v>
      </c>
      <c r="AI327" s="180">
        <f t="shared" si="629"/>
        <v>2546888.9699999997</v>
      </c>
      <c r="AJ327" s="180">
        <f>AJ328+AJ345+AJ383+AJ389</f>
        <v>0</v>
      </c>
      <c r="AK327" s="180">
        <f>AK328+AK345+AK383+AK389</f>
        <v>0</v>
      </c>
      <c r="AL327" s="180">
        <f>AL328+AL345+AL383+AL389</f>
        <v>3470883.5503017465</v>
      </c>
      <c r="AM327" s="180">
        <f t="shared" si="630"/>
        <v>3470883.5503017465</v>
      </c>
      <c r="AN327" s="180">
        <f>AN328+AN345+AN383+AN389</f>
        <v>0</v>
      </c>
      <c r="AO327" s="180">
        <f>AO328+AO345+AO383+AO389</f>
        <v>750</v>
      </c>
      <c r="AP327" s="180">
        <f>AP328+AP345+AP383+AP389</f>
        <v>20000</v>
      </c>
      <c r="AQ327" s="180">
        <f t="shared" si="631"/>
        <v>20750</v>
      </c>
      <c r="AR327" s="180">
        <f t="shared" si="632"/>
        <v>9041022.5203017462</v>
      </c>
    </row>
    <row r="328" spans="2:44" x14ac:dyDescent="0.25">
      <c r="B328" s="190" t="s">
        <v>330</v>
      </c>
      <c r="C328" s="191" t="s">
        <v>202</v>
      </c>
      <c r="D328" s="192">
        <f>SUM(D329:D344)</f>
        <v>0</v>
      </c>
      <c r="E328" s="192">
        <f>SUM(E329:E344)</f>
        <v>3764137.07</v>
      </c>
      <c r="F328" s="192">
        <f t="shared" si="622"/>
        <v>3764137.07</v>
      </c>
      <c r="G328" s="192">
        <f>SUM(G329:G344)</f>
        <v>0</v>
      </c>
      <c r="H328" s="192">
        <f t="shared" si="623"/>
        <v>3764137.07</v>
      </c>
      <c r="I328" s="192">
        <f>SUM(I329:I344)</f>
        <v>0</v>
      </c>
      <c r="J328" s="192">
        <f t="shared" si="624"/>
        <v>3764137.07</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3764137.07</v>
      </c>
      <c r="V328" s="192">
        <f t="shared" si="784"/>
        <v>0</v>
      </c>
      <c r="W328" s="192">
        <f t="shared" si="784"/>
        <v>0</v>
      </c>
      <c r="X328" s="192">
        <f t="shared" si="784"/>
        <v>0</v>
      </c>
      <c r="Y328" s="192">
        <f t="shared" ref="Y328:Z328" si="786">SUM(Y329:Y344)</f>
        <v>0</v>
      </c>
      <c r="Z328" s="192">
        <f t="shared" si="786"/>
        <v>0</v>
      </c>
      <c r="AA328" s="192">
        <f t="shared" si="784"/>
        <v>0</v>
      </c>
      <c r="AB328" s="192">
        <f t="shared" si="784"/>
        <v>320000</v>
      </c>
      <c r="AC328" s="192">
        <f t="shared" si="784"/>
        <v>1642200</v>
      </c>
      <c r="AD328" s="192">
        <f t="shared" si="784"/>
        <v>0</v>
      </c>
      <c r="AE328" s="192">
        <f t="shared" si="628"/>
        <v>1962200</v>
      </c>
      <c r="AF328" s="192">
        <f>SUM(AF329:AF344)</f>
        <v>0</v>
      </c>
      <c r="AG328" s="192">
        <f>SUM(AG329:AG344)</f>
        <v>1796187.0699999998</v>
      </c>
      <c r="AH328" s="192">
        <f>SUM(AH329:AH344)</f>
        <v>0</v>
      </c>
      <c r="AI328" s="192">
        <f t="shared" si="629"/>
        <v>1796187.0699999998</v>
      </c>
      <c r="AJ328" s="192">
        <f>SUM(AJ329:AJ344)</f>
        <v>0</v>
      </c>
      <c r="AK328" s="192">
        <f>SUM(AK329:AK344)</f>
        <v>0</v>
      </c>
      <c r="AL328" s="192">
        <f>SUM(AL329:AL344)</f>
        <v>5000</v>
      </c>
      <c r="AM328" s="192">
        <f t="shared" si="630"/>
        <v>5000</v>
      </c>
      <c r="AN328" s="192">
        <f>SUM(AN329:AN344)</f>
        <v>0</v>
      </c>
      <c r="AO328" s="192">
        <f>SUM(AO329:AO344)</f>
        <v>750</v>
      </c>
      <c r="AP328" s="192">
        <f>SUM(AP329:AP344)</f>
        <v>0</v>
      </c>
      <c r="AQ328" s="192">
        <f t="shared" si="631"/>
        <v>750</v>
      </c>
      <c r="AR328" s="192">
        <f t="shared" si="632"/>
        <v>3764137.07</v>
      </c>
    </row>
    <row r="329" spans="2:44" x14ac:dyDescent="0.25">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3764137.07</v>
      </c>
      <c r="F340" s="183">
        <f t="shared" ref="F340" si="803">D340+E340</f>
        <v>3764137.07</v>
      </c>
      <c r="G340" s="183"/>
      <c r="H340" s="183">
        <f t="shared" ref="H340" si="804">F340-G340</f>
        <v>3764137.07</v>
      </c>
      <c r="I340" s="183"/>
      <c r="J340" s="183">
        <f t="shared" ref="J340" si="805">F340-I340</f>
        <v>3764137.07</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3764137.07</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1642200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1962200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1796187.0699999998</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1796187.0699999998</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340" s="183">
        <f t="shared" ref="AM340" si="808">AJ340+AK340+AL340</f>
        <v>5000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750</v>
      </c>
      <c r="AR340" s="183">
        <f t="shared" ref="AR340" si="810">AE340+AI340+AM340+AQ340</f>
        <v>3764137.07</v>
      </c>
    </row>
    <row r="341" spans="2:44" x14ac:dyDescent="0.25">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333</v>
      </c>
      <c r="C345" s="191" t="s">
        <v>205</v>
      </c>
      <c r="D345" s="192">
        <f>SUM(D346:D382)</f>
        <v>29000</v>
      </c>
      <c r="E345" s="192">
        <f>SUM(E346:E382)</f>
        <v>5036214.7603017464</v>
      </c>
      <c r="F345" s="192">
        <f t="shared" si="622"/>
        <v>5065214.7603017464</v>
      </c>
      <c r="G345" s="192">
        <f>SUM(G346:G382)</f>
        <v>0</v>
      </c>
      <c r="H345" s="192">
        <f t="shared" si="623"/>
        <v>5065214.7603017464</v>
      </c>
      <c r="I345" s="192">
        <f>SUM(I346:I382)</f>
        <v>0</v>
      </c>
      <c r="J345" s="192">
        <f t="shared" si="624"/>
        <v>5065214.7603017464</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5065214.7603017464</v>
      </c>
      <c r="V345" s="192">
        <f t="shared" si="819"/>
        <v>0</v>
      </c>
      <c r="W345" s="192">
        <f t="shared" si="819"/>
        <v>0</v>
      </c>
      <c r="X345" s="192">
        <f t="shared" si="819"/>
        <v>0</v>
      </c>
      <c r="Y345" s="192">
        <f t="shared" ref="Y345:Z345" si="821">SUM(Y346:Y382)</f>
        <v>0</v>
      </c>
      <c r="Z345" s="192">
        <f t="shared" si="821"/>
        <v>0</v>
      </c>
      <c r="AA345" s="192">
        <f t="shared" si="819"/>
        <v>0</v>
      </c>
      <c r="AB345" s="192">
        <f t="shared" si="819"/>
        <v>15000</v>
      </c>
      <c r="AC345" s="192">
        <f t="shared" si="819"/>
        <v>572200</v>
      </c>
      <c r="AD345" s="192">
        <f t="shared" si="819"/>
        <v>453100</v>
      </c>
      <c r="AE345" s="192">
        <f t="shared" si="628"/>
        <v>1040300</v>
      </c>
      <c r="AF345" s="192">
        <f>SUM(AF346:AF382)</f>
        <v>0</v>
      </c>
      <c r="AG345" s="192">
        <f>SUM(AG346:AG382)</f>
        <v>750701.89999999979</v>
      </c>
      <c r="AH345" s="192">
        <f>SUM(AH346:AH382)</f>
        <v>0</v>
      </c>
      <c r="AI345" s="192">
        <f t="shared" si="629"/>
        <v>750701.89999999979</v>
      </c>
      <c r="AJ345" s="192">
        <f>SUM(AJ346:AJ382)</f>
        <v>0</v>
      </c>
      <c r="AK345" s="192">
        <f>SUM(AK346:AK382)</f>
        <v>0</v>
      </c>
      <c r="AL345" s="192">
        <f>SUM(AL346:AL382)</f>
        <v>3254212.8603017465</v>
      </c>
      <c r="AM345" s="192">
        <f t="shared" si="630"/>
        <v>3254212.8603017465</v>
      </c>
      <c r="AN345" s="192">
        <f>SUM(AN346:AN382)</f>
        <v>0</v>
      </c>
      <c r="AO345" s="192">
        <f>SUM(AO346:AO382)</f>
        <v>0</v>
      </c>
      <c r="AP345" s="192">
        <f>SUM(AP346:AP382)</f>
        <v>20000</v>
      </c>
      <c r="AQ345" s="192">
        <f t="shared" si="631"/>
        <v>20000</v>
      </c>
      <c r="AR345" s="192">
        <f t="shared" si="632"/>
        <v>5065214.7603017464</v>
      </c>
    </row>
    <row r="346" spans="2:44" x14ac:dyDescent="0.25">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347800</v>
      </c>
      <c r="F348" s="183">
        <f t="shared" si="622"/>
        <v>347800</v>
      </c>
      <c r="G348" s="183"/>
      <c r="H348" s="183">
        <f t="shared" si="623"/>
        <v>347800</v>
      </c>
      <c r="I348" s="183"/>
      <c r="J348" s="183">
        <f t="shared" si="624"/>
        <v>347800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347800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103000</v>
      </c>
      <c r="AE348" s="183">
        <f t="shared" si="628"/>
        <v>113000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214800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214800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Q348" s="183">
        <f t="shared" si="631"/>
        <v>20000</v>
      </c>
      <c r="AR348" s="183">
        <f t="shared" si="632"/>
        <v>347800</v>
      </c>
    </row>
    <row r="349" spans="2:44" x14ac:dyDescent="0.25">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349" s="183">
        <f t="shared" si="622"/>
        <v>60000</v>
      </c>
      <c r="G349" s="183"/>
      <c r="H349" s="183">
        <f t="shared" si="623"/>
        <v>60000</v>
      </c>
      <c r="I349" s="183"/>
      <c r="J349" s="183">
        <f t="shared" si="624"/>
        <v>60000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60000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60000</v>
      </c>
    </row>
    <row r="350" spans="2:44" x14ac:dyDescent="0.25">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128000</v>
      </c>
      <c r="F350" s="183">
        <f t="shared" si="622"/>
        <v>128000</v>
      </c>
      <c r="G350" s="183"/>
      <c r="H350" s="183">
        <f t="shared" si="623"/>
        <v>128000</v>
      </c>
      <c r="I350" s="183"/>
      <c r="J350" s="183">
        <f t="shared" si="624"/>
        <v>128000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104000</v>
      </c>
      <c r="AE350" s="183">
        <f t="shared" si="628"/>
        <v>104000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24000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128000</v>
      </c>
    </row>
    <row r="351" spans="2:44" x14ac:dyDescent="0.25">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v>
      </c>
      <c r="F357" s="183">
        <f t="shared" si="622"/>
        <v>39000</v>
      </c>
      <c r="G357" s="183"/>
      <c r="H357" s="183">
        <f t="shared" si="623"/>
        <v>39000</v>
      </c>
      <c r="I357" s="183"/>
      <c r="J357" s="183">
        <f t="shared" si="624"/>
        <v>39000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E357" s="183">
        <f t="shared" si="628"/>
        <v>13000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26000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39000</v>
      </c>
    </row>
    <row r="358" spans="2:44" x14ac:dyDescent="0.25">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3874314.7603017469</v>
      </c>
      <c r="F359" s="183">
        <f t="shared" si="622"/>
        <v>3874314.7603017469</v>
      </c>
      <c r="G359" s="183"/>
      <c r="H359" s="183">
        <f t="shared" si="623"/>
        <v>3874314.7603017469</v>
      </c>
      <c r="I359" s="183"/>
      <c r="J359" s="183">
        <f t="shared" si="624"/>
        <v>3874314.7603017469</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3874314.7603017469</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217200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217200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462901.89999999979</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462901.89999999979</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3194212.8603017465</v>
      </c>
      <c r="AM359" s="183">
        <f t="shared" si="630"/>
        <v>3194212.8603017465</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3874314.7603017464</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587100</v>
      </c>
      <c r="F366" s="183">
        <f t="shared" si="822"/>
        <v>616100</v>
      </c>
      <c r="G366" s="183"/>
      <c r="H366" s="183">
        <f t="shared" si="823"/>
        <v>616100</v>
      </c>
      <c r="I366" s="183"/>
      <c r="J366" s="183">
        <f t="shared" si="824"/>
        <v>616100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616100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233100</v>
      </c>
      <c r="AE366" s="183">
        <f t="shared" si="825"/>
        <v>533100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23000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M366" s="183">
        <f t="shared" si="827"/>
        <v>60000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616100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341</v>
      </c>
      <c r="C389" s="191" t="s">
        <v>209</v>
      </c>
      <c r="D389" s="192">
        <f>SUM(D390:D396)</f>
        <v>0</v>
      </c>
      <c r="E389" s="192">
        <f>SUM(E390:E396)</f>
        <v>211670.69</v>
      </c>
      <c r="F389" s="192">
        <f t="shared" si="830"/>
        <v>211670.69</v>
      </c>
      <c r="G389" s="192">
        <f>SUM(G390:G396)</f>
        <v>0</v>
      </c>
      <c r="H389" s="192">
        <f t="shared" si="623"/>
        <v>211670.69</v>
      </c>
      <c r="I389" s="192">
        <f>SUM(I390:I396)</f>
        <v>0</v>
      </c>
      <c r="J389" s="192">
        <f t="shared" si="624"/>
        <v>211670.69</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211670.69</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211670.69</v>
      </c>
      <c r="AM389" s="192">
        <f t="shared" si="630"/>
        <v>211670.69</v>
      </c>
      <c r="AN389" s="192">
        <f>SUM(AN390:AN396)</f>
        <v>0</v>
      </c>
      <c r="AO389" s="192">
        <f>SUM(AO390:AO396)</f>
        <v>0</v>
      </c>
      <c r="AP389" s="192">
        <f>SUM(AP390:AP396)</f>
        <v>0</v>
      </c>
      <c r="AQ389" s="192">
        <f t="shared" si="631"/>
        <v>0</v>
      </c>
      <c r="AR389" s="192">
        <f t="shared" si="632"/>
        <v>211670.69</v>
      </c>
    </row>
    <row r="390" spans="1:44" x14ac:dyDescent="0.25">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211670.69</v>
      </c>
      <c r="F391" s="183">
        <f t="shared" ref="F391:F394" si="855">D391+E391</f>
        <v>211670.69</v>
      </c>
      <c r="G391" s="183"/>
      <c r="H391" s="183">
        <f t="shared" ref="H391:H394" si="856">F391-G391</f>
        <v>211670.69</v>
      </c>
      <c r="I391" s="183"/>
      <c r="J391" s="183">
        <f t="shared" ref="J391:J394" si="857">F391-I391</f>
        <v>211670.69</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211670.69</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211670.69</v>
      </c>
      <c r="AM391" s="183">
        <f t="shared" ref="AM391:AM394" si="860">AJ391+AK391+AL391</f>
        <v>211670.69</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211670.69</v>
      </c>
    </row>
    <row r="392" spans="1:44" x14ac:dyDescent="0.25">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245</v>
      </c>
      <c r="D566" s="186">
        <f>D12+D106+D222+D327+D397+D499+D526+D560</f>
        <v>597300.74924999999</v>
      </c>
      <c r="E566" s="186">
        <f>E12+E106+E222+E327+E397+E499+E526+E560</f>
        <v>12820446.585301746</v>
      </c>
      <c r="F566" s="186">
        <f t="shared" si="1050"/>
        <v>13417747.334551746</v>
      </c>
      <c r="G566" s="186">
        <f>G12+G106+G222+G327+G397+G499+G526+G560</f>
        <v>0</v>
      </c>
      <c r="H566" s="186">
        <f t="shared" si="1052"/>
        <v>13417747.334551746</v>
      </c>
      <c r="I566" s="186">
        <f>I12+I106+I222+I327+I397+I499+I526+I560</f>
        <v>0</v>
      </c>
      <c r="J566" s="186">
        <f t="shared" si="1053"/>
        <v>13417747.334551746</v>
      </c>
      <c r="K566" s="186">
        <f t="shared" ref="K566:AD566" si="1209">K12+K106+K222+K327+K397+K499+K526+K560</f>
        <v>3200</v>
      </c>
      <c r="L566" s="186">
        <f t="shared" si="1209"/>
        <v>164429.74924999999</v>
      </c>
      <c r="M566" s="186">
        <f t="shared" si="1209"/>
        <v>61970</v>
      </c>
      <c r="N566" s="186">
        <f t="shared" si="1209"/>
        <v>48400</v>
      </c>
      <c r="O566" s="186">
        <f t="shared" si="1209"/>
        <v>88450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13016117.585301746</v>
      </c>
      <c r="V566" s="186">
        <f t="shared" si="1209"/>
        <v>0</v>
      </c>
      <c r="W566" s="186">
        <f t="shared" ref="W566" si="1212">W12+W106+W222+W327+W397+W499+W526+W560</f>
        <v>0</v>
      </c>
      <c r="X566" s="186">
        <f t="shared" si="1209"/>
        <v>61059.050999999999</v>
      </c>
      <c r="Y566" s="186">
        <f t="shared" ref="Y566:Z566" si="1213">Y12+Y106+Y222+Y327+Y397+Y499+Y526+Y560</f>
        <v>0</v>
      </c>
      <c r="Z566" s="186">
        <f t="shared" si="1213"/>
        <v>0</v>
      </c>
      <c r="AA566" s="186">
        <f t="shared" si="1209"/>
        <v>24050</v>
      </c>
      <c r="AB566" s="186">
        <f t="shared" si="1209"/>
        <v>732229.74924999999</v>
      </c>
      <c r="AC566" s="186">
        <f t="shared" si="1209"/>
        <v>2744587.051</v>
      </c>
      <c r="AD566" s="186">
        <f t="shared" si="1209"/>
        <v>3781867.0650000004</v>
      </c>
      <c r="AE566" s="186">
        <f t="shared" si="1059"/>
        <v>7258683.8652500007</v>
      </c>
      <c r="AF566" s="186">
        <f t="shared" ref="AF566:AH566" si="1214">AF12+AF106+AF222+AF327+AF397+AF499+AF526+AF560</f>
        <v>30770</v>
      </c>
      <c r="AG566" s="186">
        <f t="shared" si="1214"/>
        <v>2574388.9699999997</v>
      </c>
      <c r="AH566" s="186">
        <f t="shared" si="1214"/>
        <v>9600</v>
      </c>
      <c r="AI566" s="186">
        <f t="shared" si="1060"/>
        <v>2614758.9699999997</v>
      </c>
      <c r="AJ566" s="186">
        <f t="shared" ref="AJ566:AL566" si="1215">AJ12+AJ106+AJ222+AJ327+AJ397+AJ499+AJ526+AJ560</f>
        <v>40200</v>
      </c>
      <c r="AK566" s="186">
        <f t="shared" si="1215"/>
        <v>39300</v>
      </c>
      <c r="AL566" s="186">
        <f t="shared" si="1215"/>
        <v>3478983.5503017465</v>
      </c>
      <c r="AM566" s="186">
        <f t="shared" si="1061"/>
        <v>3558483.5503017465</v>
      </c>
      <c r="AN566" s="186">
        <f t="shared" ref="AN566:AP566" si="1216">AN12+AN106+AN222+AN327+AN397+AN499+AN526+AN560</f>
        <v>0</v>
      </c>
      <c r="AO566" s="186">
        <f t="shared" si="1216"/>
        <v>15750</v>
      </c>
      <c r="AP566" s="186">
        <f t="shared" si="1216"/>
        <v>20000</v>
      </c>
      <c r="AQ566" s="186">
        <f t="shared" si="1062"/>
        <v>35750</v>
      </c>
      <c r="AR566" s="186">
        <f t="shared" si="1063"/>
        <v>13467676.385551747</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03"/>
  <sheetViews>
    <sheetView showGridLines="0" topLeftCell="B4" zoomScale="90" zoomScaleNormal="90" workbookViewId="0">
      <selection activeCell="F4" sqref="F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5" t="s">
        <v>1356</v>
      </c>
      <c r="B2" s="125" t="s">
        <v>1358</v>
      </c>
      <c r="C2" s="125" t="s">
        <v>470</v>
      </c>
      <c r="D2" s="125" t="s">
        <v>1357</v>
      </c>
      <c r="E2" s="125" t="s">
        <v>1359</v>
      </c>
      <c r="F2" s="125" t="s">
        <v>471</v>
      </c>
      <c r="G2" s="125" t="s">
        <v>1360</v>
      </c>
      <c r="H2" s="125" t="s">
        <v>1361</v>
      </c>
      <c r="I2" s="125" t="s">
        <v>1362</v>
      </c>
      <c r="J2" s="125" t="s">
        <v>1449</v>
      </c>
      <c r="K2" s="125" t="s">
        <v>1363</v>
      </c>
      <c r="L2" s="125" t="s">
        <v>1364</v>
      </c>
      <c r="M2" s="125" t="s">
        <v>1365</v>
      </c>
      <c r="N2" s="125" t="s">
        <v>1366</v>
      </c>
      <c r="O2" s="125" t="s">
        <v>1367</v>
      </c>
      <c r="P2" s="122" t="s">
        <v>1471</v>
      </c>
      <c r="Q2" s="122" t="s">
        <v>1506</v>
      </c>
      <c r="S2" s="461" t="str">
        <f>+Presupuesto!D11</f>
        <v>Recurrente</v>
      </c>
      <c r="T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62">
        <f>SUMIF(C:C,$C$10,D:D)</f>
        <v>63920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SUM(G17:G20)</f>
        <v>3350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8" t="s">
        <v>1771</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Gestionar Taller: Uso del manual para la transversalizaciòn del eje de ètica. Vice Rectoria Academica </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547" t="s">
        <v>410</v>
      </c>
      <c r="N16" s="153"/>
    </row>
    <row r="17" spans="2:14" x14ac:dyDescent="0.25">
      <c r="B17" s="93"/>
      <c r="C17" s="326" t="s">
        <v>47</v>
      </c>
      <c r="D17" s="718">
        <v>50</v>
      </c>
      <c r="E17" s="327"/>
      <c r="F17" s="115">
        <v>30000</v>
      </c>
      <c r="G17" s="328">
        <f t="shared" ref="G17:G19" si="0">E17*F17</f>
        <v>0</v>
      </c>
      <c r="H17" s="329"/>
      <c r="I17" s="116" t="s">
        <v>698</v>
      </c>
      <c r="J17" s="116" t="str">
        <f>VLOOKUP(I17,Presupuesto!$B$11:$C$566,2,0)</f>
        <v>SERVICIOS DE CAPACITACION.</v>
      </c>
      <c r="K17" s="544" t="s">
        <v>1506</v>
      </c>
      <c r="L17" s="548" t="s">
        <v>394</v>
      </c>
      <c r="N17" s="153"/>
    </row>
    <row r="18" spans="2:14" x14ac:dyDescent="0.25">
      <c r="B18" s="93"/>
      <c r="C18" s="99" t="s">
        <v>49</v>
      </c>
      <c r="D18" s="719"/>
      <c r="E18" s="200">
        <f>D17</f>
        <v>50</v>
      </c>
      <c r="F18" s="100">
        <v>35</v>
      </c>
      <c r="G18" s="97">
        <f t="shared" si="0"/>
        <v>1750</v>
      </c>
      <c r="H18" s="161" t="s">
        <v>128</v>
      </c>
      <c r="I18" s="98" t="s">
        <v>791</v>
      </c>
      <c r="J18" s="98" t="str">
        <f>VLOOKUP(I18,Presupuesto!$B$11:$C$566,2,0)</f>
        <v>ALIMENTOS B EBIDAS PARA PERSONAS</v>
      </c>
      <c r="K18" s="545" t="str">
        <f t="shared" ref="K18:K20" si="1">$K$17</f>
        <v>Gestión Tecnologías de Información y Comunicación</v>
      </c>
      <c r="L18" s="548" t="s">
        <v>394</v>
      </c>
      <c r="N18" s="153"/>
    </row>
    <row r="19" spans="2:14" x14ac:dyDescent="0.25">
      <c r="B19" s="93"/>
      <c r="C19" s="99" t="s">
        <v>1702</v>
      </c>
      <c r="D19" s="719"/>
      <c r="E19" s="151">
        <v>1</v>
      </c>
      <c r="F19" s="118">
        <v>600</v>
      </c>
      <c r="G19" s="97">
        <f t="shared" si="0"/>
        <v>600</v>
      </c>
      <c r="H19" s="161" t="s">
        <v>128</v>
      </c>
      <c r="I19" s="142" t="s">
        <v>870</v>
      </c>
      <c r="J19" s="98" t="str">
        <f>VLOOKUP(I19,Presupuesto!$B$11:$C$566,2,0)</f>
        <v>GASOLINA</v>
      </c>
      <c r="K19" s="545" t="str">
        <f t="shared" si="1"/>
        <v>Gestión Tecnologías de Información y Comunicación</v>
      </c>
      <c r="L19" s="548" t="s">
        <v>394</v>
      </c>
      <c r="N19" s="153"/>
    </row>
    <row r="20" spans="2:14" ht="15.75" thickBot="1" x14ac:dyDescent="0.3">
      <c r="B20" s="93"/>
      <c r="C20" s="216" t="s">
        <v>427</v>
      </c>
      <c r="D20" s="217">
        <v>1</v>
      </c>
      <c r="E20" s="331">
        <v>0.5</v>
      </c>
      <c r="F20" s="104">
        <f>HLOOKUP(C20,$AH$2:$BU$3,2,0)</f>
        <v>2000</v>
      </c>
      <c r="G20" s="105">
        <f>D20*E20*F20</f>
        <v>1000</v>
      </c>
      <c r="H20" s="161" t="s">
        <v>128</v>
      </c>
      <c r="I20" s="333" t="s">
        <v>762</v>
      </c>
      <c r="J20" s="106" t="str">
        <f>VLOOKUP(I20,Presupuesto!$B$11:$C$566,2,0)</f>
        <v>VIATICOS NACIONALES</v>
      </c>
      <c r="K20" s="546" t="str">
        <f t="shared" si="1"/>
        <v>Gestión Tecnologías de Información y Comunicación</v>
      </c>
      <c r="L20" s="548" t="s">
        <v>394</v>
      </c>
    </row>
    <row r="21" spans="2:14" x14ac:dyDescent="0.25">
      <c r="B21" s="93"/>
      <c r="C21" s="93"/>
      <c r="E21" s="112"/>
      <c r="F21" s="112"/>
      <c r="G21" s="112"/>
      <c r="H21" s="174"/>
      <c r="I21" s="112"/>
      <c r="J21" s="112"/>
      <c r="K21" s="112"/>
    </row>
    <row r="22" spans="2:14" ht="15.75" thickBot="1" x14ac:dyDescent="0.3"/>
    <row r="23" spans="2:14" ht="15.75" thickBot="1" x14ac:dyDescent="0.3">
      <c r="C23" s="29" t="s">
        <v>43</v>
      </c>
      <c r="D23" s="30">
        <f>SUM(G30:G33)</f>
        <v>3520</v>
      </c>
      <c r="E23" s="93"/>
      <c r="F23" s="93"/>
      <c r="G23" s="93"/>
      <c r="H23" s="76"/>
      <c r="I23" s="76"/>
      <c r="J23" s="76"/>
      <c r="K23" s="112"/>
    </row>
    <row r="24" spans="2:14" x14ac:dyDescent="0.25">
      <c r="C24" s="70"/>
      <c r="D24" s="31"/>
      <c r="E24" s="93"/>
      <c r="F24" s="93"/>
      <c r="G24" s="93"/>
      <c r="H24" s="76"/>
      <c r="I24" s="76"/>
      <c r="J24" s="76"/>
      <c r="K24" s="112"/>
    </row>
    <row r="25" spans="2:14" x14ac:dyDescent="0.25">
      <c r="C25" s="70"/>
      <c r="D25" s="31"/>
      <c r="E25" s="93"/>
      <c r="F25" s="93"/>
      <c r="G25" s="93"/>
      <c r="H25" s="76"/>
      <c r="I25" s="76"/>
      <c r="J25" s="76"/>
      <c r="K25" s="112"/>
    </row>
    <row r="26" spans="2:14" ht="15.75" x14ac:dyDescent="0.25">
      <c r="C26" s="202" t="s">
        <v>391</v>
      </c>
      <c r="D26" s="368" t="s">
        <v>1942</v>
      </c>
      <c r="E26" s="93"/>
      <c r="F26" s="93"/>
      <c r="G26" s="93"/>
      <c r="H26" s="76"/>
      <c r="I26" s="76"/>
      <c r="J26" s="76"/>
      <c r="K26" s="112"/>
    </row>
    <row r="27" spans="2:14" ht="18.75" x14ac:dyDescent="0.25">
      <c r="C27" s="210" t="str">
        <f>IFERROR(VLOOKUP(D26,'1. Desarrollo e Innov. Curricu.'!$F:$G,2,FALSE),IFERROR(VLOOKUP(D26,'2. Investigación Científica'!$F:$G,2,FALSE),IFERROR(VLOOKUP(D26,'3. Vinculación Univ. Sociedad'!$F:$G,2,FALSE),IFERROR(VLOOKUP(D26,'4. Docencia y Profesorado Univ.'!$F:$G,2,FALSE),IFERROR(VLOOKUP(D26,'5. Estudiantes y Graduados'!$F:$G,2,FALSE),IFERROR(VLOOKUP(D26,'11. Gestion Administrativa'!$F:$G,2,FALSE),IFERROR(VLOOKUP(D26,'13. Gestión Académica'!$F:$G,2,FALSE),IFERROR(VLOOKUP(D26,'9. Asegura. de la Calid. y M'!$F:$G,2,FALSE),IFERROR(VLOOKUP(D26,'6. Gestión del Conocimiento'!$F:$G,2,FALSE),IFERROR(VLOOKUP(D26,'15. Gobernabilidad y Proceso...'!$F:$G,2,FALSE),IFERROR(VLOOKUP(D26,'12. Gestión del Talento Humano'!$F:$G,2,FALSE),IFERROR(VLOOKUP(D26,'14. Internacional... de la E.S.'!$F:$G,2,FALSE),IFERROR(VLOOKUP(D26,'10. Posgrado'!$F:$G,2,FALSE),IFERROR(VLOOKUP(D26,'17. Gestión TIC'!$F:$G,2,FALSE),IFERROR(VLOOKUP(D26,'16. Desa. del Sistema Educ.Sup.'!$F:$G,2,FALSE),IFERROR(VLOOKUP(D26,'8. Cultura de Inno. Insti...'!$F:$G,2,FALSE),VLOOKUP(D26,'7. Lo Esencial de la Reforma U.'!$F:$G,2,0)))))))))))))))))</f>
        <v>Brindar capacitaciones sobre calidad de agua y protección de la cuenca en la comunidad de San Marcos Arriba, Danlí, El Paraíso en fechas posteriores al desarrollo de nuestra investigación sobre este tema</v>
      </c>
      <c r="D27" s="31"/>
      <c r="E27" s="93"/>
      <c r="F27" s="93"/>
      <c r="G27" s="93"/>
      <c r="H27" s="76"/>
      <c r="I27" s="76"/>
      <c r="J27" s="76"/>
      <c r="K27" s="112"/>
    </row>
    <row r="28" spans="2:14" ht="15.75" thickBot="1" x14ac:dyDescent="0.3">
      <c r="C28" s="70"/>
      <c r="D28" s="31"/>
      <c r="E28" s="93"/>
      <c r="F28" s="93"/>
      <c r="G28" s="93"/>
      <c r="H28" s="76"/>
      <c r="I28" s="76"/>
      <c r="J28" s="76"/>
      <c r="K28" s="112"/>
    </row>
    <row r="29" spans="2:14" ht="30.75" thickBot="1" x14ac:dyDescent="0.3">
      <c r="C29" s="126" t="s">
        <v>44</v>
      </c>
      <c r="D29" s="129" t="s">
        <v>45</v>
      </c>
      <c r="E29" s="128" t="s">
        <v>55</v>
      </c>
      <c r="F29" s="128" t="s">
        <v>57</v>
      </c>
      <c r="G29" s="127" t="s">
        <v>27</v>
      </c>
      <c r="H29" s="133" t="s">
        <v>130</v>
      </c>
      <c r="I29" s="128" t="s">
        <v>46</v>
      </c>
      <c r="J29" s="128" t="s">
        <v>131</v>
      </c>
      <c r="K29" s="128" t="s">
        <v>409</v>
      </c>
      <c r="L29" s="128" t="s">
        <v>410</v>
      </c>
    </row>
    <row r="30" spans="2:14" x14ac:dyDescent="0.25">
      <c r="C30" s="326" t="s">
        <v>47</v>
      </c>
      <c r="D30" s="718">
        <v>40</v>
      </c>
      <c r="E30" s="327"/>
      <c r="F30" s="115">
        <v>30000</v>
      </c>
      <c r="G30" s="328">
        <f t="shared" ref="G30:G32" si="2">E30*F30</f>
        <v>0</v>
      </c>
      <c r="H30" s="329"/>
      <c r="I30" s="116" t="s">
        <v>698</v>
      </c>
      <c r="J30" s="116" t="str">
        <f>VLOOKUP(I30,Presupuesto!$B$11:$C$566,2,0)</f>
        <v>SERVICIOS DE CAPACITACION.</v>
      </c>
      <c r="K30" s="330" t="s">
        <v>470</v>
      </c>
      <c r="L30" s="116" t="s">
        <v>393</v>
      </c>
    </row>
    <row r="31" spans="2:14" x14ac:dyDescent="0.25">
      <c r="C31" s="99" t="s">
        <v>48</v>
      </c>
      <c r="D31" s="719"/>
      <c r="E31" s="200">
        <f>D30</f>
        <v>40</v>
      </c>
      <c r="F31" s="100">
        <v>50</v>
      </c>
      <c r="G31" s="97">
        <f t="shared" si="2"/>
        <v>2000</v>
      </c>
      <c r="H31" s="161"/>
      <c r="I31" s="98" t="s">
        <v>716</v>
      </c>
      <c r="J31" s="98" t="str">
        <f>VLOOKUP(I31,Presupuesto!$B$11:$C$566,2,0)</f>
        <v>SERVICIOS DE IMPRENTA PUBLIC.Y REPRODUCCION</v>
      </c>
      <c r="K31" s="98" t="str">
        <f>$K$30</f>
        <v>Vinculación Universidad-Sociedad</v>
      </c>
      <c r="L31" s="98" t="s">
        <v>411</v>
      </c>
    </row>
    <row r="32" spans="2:14" x14ac:dyDescent="0.25">
      <c r="C32" s="99" t="s">
        <v>49</v>
      </c>
      <c r="D32" s="719"/>
      <c r="E32" s="200">
        <f>D30</f>
        <v>40</v>
      </c>
      <c r="F32" s="100">
        <v>38</v>
      </c>
      <c r="G32" s="97">
        <f t="shared" si="2"/>
        <v>1520</v>
      </c>
      <c r="H32" s="161"/>
      <c r="I32" s="98" t="s">
        <v>791</v>
      </c>
      <c r="J32" s="98" t="str">
        <f>VLOOKUP(I32,Presupuesto!$B$11:$C$566,2,0)</f>
        <v>ALIMENTOS B EBIDAS PARA PERSONAS</v>
      </c>
      <c r="K32" s="98" t="str">
        <f t="shared" ref="K32:K33" si="3">$K$30</f>
        <v>Vinculación Universidad-Sociedad</v>
      </c>
      <c r="L32" s="98" t="s">
        <v>395</v>
      </c>
    </row>
    <row r="33" spans="3:12" ht="15.75" thickBot="1" x14ac:dyDescent="0.3">
      <c r="C33" s="216" t="s">
        <v>429</v>
      </c>
      <c r="D33" s="217">
        <v>0</v>
      </c>
      <c r="E33" s="331">
        <v>0</v>
      </c>
      <c r="F33" s="104">
        <f>HLOOKUP(C33,$AH$2:$BU$3,2,0)</f>
        <v>1150</v>
      </c>
      <c r="G33" s="105">
        <f>D33*E33*F33</f>
        <v>0</v>
      </c>
      <c r="H33" s="332"/>
      <c r="I33" s="333" t="s">
        <v>300</v>
      </c>
      <c r="J33" s="106" t="str">
        <f>VLOOKUP(I33,Presupuesto!$B$11:$C$566,2,0)</f>
        <v>VIATICOS (26200-00)</v>
      </c>
      <c r="K33" s="334" t="str">
        <f t="shared" si="3"/>
        <v>Vinculación Universidad-Sociedad</v>
      </c>
      <c r="L33" s="334" t="s">
        <v>411</v>
      </c>
    </row>
    <row r="35" spans="3:12" ht="15.75" thickBot="1" x14ac:dyDescent="0.3"/>
    <row r="36" spans="3:12" ht="15.75" thickBot="1" x14ac:dyDescent="0.3">
      <c r="C36" s="29" t="s">
        <v>43</v>
      </c>
      <c r="D36" s="30">
        <f>SUM(G43:G45)</f>
        <v>2925</v>
      </c>
      <c r="E36" s="93"/>
      <c r="F36" s="93"/>
      <c r="G36" s="93"/>
      <c r="H36" s="76"/>
      <c r="I36" s="76"/>
      <c r="J36" s="76"/>
      <c r="K36" s="112"/>
    </row>
    <row r="37" spans="3:12" x14ac:dyDescent="0.25">
      <c r="C37" s="70"/>
      <c r="D37" s="31"/>
      <c r="E37" s="93"/>
      <c r="F37" s="93"/>
      <c r="G37" s="93"/>
      <c r="H37" s="76"/>
      <c r="I37" s="76"/>
      <c r="J37" s="76"/>
      <c r="K37" s="112"/>
    </row>
    <row r="38" spans="3:12" x14ac:dyDescent="0.25">
      <c r="C38" s="70"/>
      <c r="D38" s="31"/>
      <c r="E38" s="93"/>
      <c r="F38" s="93"/>
      <c r="G38" s="93"/>
      <c r="H38" s="76"/>
      <c r="I38" s="76"/>
      <c r="J38" s="76"/>
      <c r="K38" s="112"/>
    </row>
    <row r="39" spans="3:12" ht="15.75" x14ac:dyDescent="0.25">
      <c r="C39" s="202" t="s">
        <v>391</v>
      </c>
      <c r="D39" s="368" t="s">
        <v>2016</v>
      </c>
      <c r="E39" s="93"/>
      <c r="F39" s="93"/>
      <c r="G39" s="93"/>
      <c r="H39" s="76"/>
      <c r="I39" s="76"/>
      <c r="J39" s="76"/>
      <c r="K39" s="112"/>
    </row>
    <row r="40" spans="3:12" ht="18.75" x14ac:dyDescent="0.25">
      <c r="C40" s="210" t="str">
        <f>IFERROR(VLOOKUP(D39,'1. Desarrollo e Innov. Curricu.'!$F:$G,2,FALSE),IFERROR(VLOOKUP(D39,'2. Investigación Científica'!$F:$G,2,FALSE),IFERROR(VLOOKUP(D39,'3. Vinculación Univ. Sociedad'!$F:$G,2,FALSE),IFERROR(VLOOKUP(D39,'4. Docencia y Profesorado Univ.'!$F:$G,2,FALSE),IFERROR(VLOOKUP(D39,'5. Estudiantes y Graduados'!$F:$G,2,FALSE),IFERROR(VLOOKUP(D39,'11. Gestion Administrativa'!$F:$G,2,FALSE),IFERROR(VLOOKUP(D39,'13. Gestión Académica'!$F:$G,2,FALSE),IFERROR(VLOOKUP(D39,'9. Asegura. de la Calid. y M'!$F:$G,2,FALSE),IFERROR(VLOOKUP(D39,'6. Gestión del Conocimiento'!$F:$G,2,FALSE),IFERROR(VLOOKUP(D39,'15. Gobernabilidad y Proceso...'!$F:$G,2,FALSE),IFERROR(VLOOKUP(D39,'12. Gestión del Talento Humano'!$F:$G,2,FALSE),IFERROR(VLOOKUP(D39,'14. Internacional... de la E.S.'!$F:$G,2,FALSE),IFERROR(VLOOKUP(D39,'10. Posgrado'!$F:$G,2,FALSE),IFERROR(VLOOKUP(D39,'17. Gestión TIC'!$F:$G,2,FALSE),IFERROR(VLOOKUP(D39,'16. Desa. del Sistema Educ.Sup.'!$F:$G,2,FALSE),IFERROR(VLOOKUP(D39,'8. Cultura de Inno. Insti...'!$F:$G,2,FALSE),VLOOKUP(D39,'7. Lo Esencial de la Reforma U.'!$F:$G,2,0)))))))))))))))))</f>
        <v xml:space="preserve">Gestionar capacitación para los miembros del consejo local referente a Procesos de Concurso y funciones que le competen al Consejo. </v>
      </c>
      <c r="D40" s="31"/>
      <c r="E40" s="93"/>
      <c r="F40" s="93"/>
      <c r="G40" s="93"/>
      <c r="H40" s="76"/>
      <c r="I40" s="76"/>
      <c r="J40" s="76"/>
      <c r="K40" s="112"/>
    </row>
    <row r="41" spans="3:12" ht="15.75" thickBot="1" x14ac:dyDescent="0.3">
      <c r="C41" s="70"/>
      <c r="D41" s="31"/>
      <c r="E41" s="93"/>
      <c r="F41" s="93"/>
      <c r="G41" s="93"/>
      <c r="H41" s="76"/>
      <c r="I41" s="76"/>
      <c r="J41" s="76"/>
      <c r="K41" s="112"/>
    </row>
    <row r="42" spans="3:12" ht="30.75" thickBot="1" x14ac:dyDescent="0.3">
      <c r="C42" s="126" t="s">
        <v>44</v>
      </c>
      <c r="D42" s="129" t="s">
        <v>45</v>
      </c>
      <c r="E42" s="128" t="s">
        <v>55</v>
      </c>
      <c r="F42" s="128" t="s">
        <v>57</v>
      </c>
      <c r="G42" s="127" t="s">
        <v>27</v>
      </c>
      <c r="H42" s="133" t="s">
        <v>130</v>
      </c>
      <c r="I42" s="128" t="s">
        <v>46</v>
      </c>
      <c r="J42" s="128" t="s">
        <v>131</v>
      </c>
      <c r="K42" s="128" t="s">
        <v>409</v>
      </c>
      <c r="L42" s="128" t="s">
        <v>410</v>
      </c>
    </row>
    <row r="43" spans="3:12" x14ac:dyDescent="0.25">
      <c r="C43" s="326" t="s">
        <v>47</v>
      </c>
      <c r="D43" s="718">
        <v>12</v>
      </c>
      <c r="E43" s="327"/>
      <c r="F43" s="115">
        <v>30000</v>
      </c>
      <c r="G43" s="328">
        <f t="shared" ref="G43:G44" si="4">E43*F43</f>
        <v>0</v>
      </c>
      <c r="H43" s="329"/>
      <c r="I43" s="116" t="s">
        <v>698</v>
      </c>
      <c r="J43" s="116" t="str">
        <f>VLOOKUP(I43,Presupuesto!$B$11:$C$566,2,0)</f>
        <v>SERVICIOS DE CAPACITACION.</v>
      </c>
      <c r="K43" s="330" t="s">
        <v>1357</v>
      </c>
      <c r="L43" s="116" t="s">
        <v>393</v>
      </c>
    </row>
    <row r="44" spans="3:12" x14ac:dyDescent="0.25">
      <c r="C44" s="99" t="s">
        <v>49</v>
      </c>
      <c r="D44" s="719"/>
      <c r="E44" s="200">
        <v>24</v>
      </c>
      <c r="F44" s="100">
        <v>50</v>
      </c>
      <c r="G44" s="97">
        <f t="shared" si="4"/>
        <v>1200</v>
      </c>
      <c r="H44" s="161" t="s">
        <v>128</v>
      </c>
      <c r="I44" s="98" t="s">
        <v>791</v>
      </c>
      <c r="J44" s="98" t="str">
        <f>VLOOKUP(I44,Presupuesto!$B$11:$C$566,2,0)</f>
        <v>ALIMENTOS B EBIDAS PARA PERSONAS</v>
      </c>
      <c r="K44" s="98" t="str">
        <f t="shared" ref="K44" si="5">$K$43</f>
        <v>Docencia y Profesorado Universitario</v>
      </c>
      <c r="L44" s="98" t="s">
        <v>395</v>
      </c>
    </row>
    <row r="45" spans="3:12" ht="15.75" thickBot="1" x14ac:dyDescent="0.3">
      <c r="C45" s="216" t="s">
        <v>429</v>
      </c>
      <c r="D45" s="217">
        <v>1</v>
      </c>
      <c r="E45" s="331">
        <v>1.5</v>
      </c>
      <c r="F45" s="104">
        <f>HLOOKUP(C45,$AH$2:$BU$3,2,0)</f>
        <v>1150</v>
      </c>
      <c r="G45" s="105">
        <f>D45*E45*F45</f>
        <v>1725</v>
      </c>
      <c r="H45" s="332" t="s">
        <v>128</v>
      </c>
      <c r="I45" s="333" t="s">
        <v>762</v>
      </c>
      <c r="J45" s="106" t="str">
        <f>VLOOKUP(I45,Presupuesto!$B$11:$C$566,2,0)</f>
        <v>VIATICOS NACIONALES</v>
      </c>
      <c r="K45" s="334" t="str">
        <f t="shared" ref="K45" si="6">$K$43</f>
        <v>Docencia y Profesorado Universitario</v>
      </c>
      <c r="L45" s="334" t="s">
        <v>411</v>
      </c>
    </row>
    <row r="46" spans="3:12" x14ac:dyDescent="0.25">
      <c r="C46" s="93"/>
      <c r="E46" s="112"/>
      <c r="F46" s="112"/>
      <c r="G46" s="112"/>
      <c r="H46" s="174"/>
      <c r="I46" s="112"/>
      <c r="J46" s="112"/>
      <c r="K46" s="112"/>
    </row>
    <row r="47" spans="3:12" s="465" customFormat="1" x14ac:dyDescent="0.25">
      <c r="C47" s="93"/>
      <c r="E47" s="112"/>
      <c r="F47" s="112"/>
      <c r="G47" s="112"/>
      <c r="H47" s="174"/>
      <c r="I47" s="112"/>
      <c r="J47" s="112"/>
      <c r="K47" s="112"/>
    </row>
    <row r="48" spans="3:12" s="465" customFormat="1" ht="15.75" thickBot="1" x14ac:dyDescent="0.3">
      <c r="C48" s="93"/>
      <c r="E48" s="112"/>
      <c r="F48" s="112"/>
      <c r="G48" s="112"/>
      <c r="H48" s="174"/>
      <c r="I48" s="112"/>
      <c r="J48" s="112"/>
      <c r="K48" s="112"/>
    </row>
    <row r="49" spans="3:12" s="465" customFormat="1" ht="15.75" thickBot="1" x14ac:dyDescent="0.3">
      <c r="C49" s="29" t="s">
        <v>43</v>
      </c>
      <c r="D49" s="30">
        <f>SUM(G56:G58)</f>
        <v>7175</v>
      </c>
      <c r="E49" s="93"/>
      <c r="F49" s="93"/>
      <c r="G49" s="93"/>
      <c r="H49" s="76"/>
      <c r="I49" s="76"/>
      <c r="J49" s="76"/>
      <c r="K49" s="112"/>
    </row>
    <row r="50" spans="3:12" s="465" customFormat="1" x14ac:dyDescent="0.25">
      <c r="C50" s="70"/>
      <c r="D50" s="31"/>
      <c r="E50" s="93"/>
      <c r="F50" s="93"/>
      <c r="G50" s="93"/>
      <c r="H50" s="76"/>
      <c r="I50" s="76"/>
      <c r="J50" s="76"/>
      <c r="K50" s="112"/>
    </row>
    <row r="51" spans="3:12" s="465" customFormat="1" x14ac:dyDescent="0.25">
      <c r="C51" s="70"/>
      <c r="D51" s="31"/>
      <c r="E51" s="93"/>
      <c r="F51" s="93"/>
      <c r="G51" s="93"/>
      <c r="H51" s="76"/>
      <c r="I51" s="76"/>
      <c r="J51" s="76"/>
      <c r="K51" s="112"/>
    </row>
    <row r="52" spans="3:12" s="465" customFormat="1" ht="15.75" x14ac:dyDescent="0.25">
      <c r="C52" s="202" t="s">
        <v>391</v>
      </c>
      <c r="D52" s="368" t="s">
        <v>2025</v>
      </c>
      <c r="E52" s="93"/>
      <c r="F52" s="93"/>
      <c r="G52" s="93"/>
      <c r="H52" s="76"/>
      <c r="I52" s="76"/>
      <c r="J52" s="76"/>
      <c r="K52" s="112"/>
    </row>
    <row r="53" spans="3:12" s="465" customFormat="1" ht="18.75" x14ac:dyDescent="0.25">
      <c r="C53" s="210" t="str">
        <f>IFERROR(VLOOKUP(D52,'1. Desarrollo e Innov. Curricu.'!$F:$G,2,FALSE),IFERROR(VLOOKUP(D52,'2. Investigación Científica'!$F:$G,2,FALSE),IFERROR(VLOOKUP(D52,'3. Vinculación Univ. Sociedad'!$F:$G,2,FALSE),IFERROR(VLOOKUP(D52,'4. Docencia y Profesorado Univ.'!$F:$G,2,FALSE),IFERROR(VLOOKUP(D52,'5. Estudiantes y Graduados'!$F:$G,2,FALSE),IFERROR(VLOOKUP(D52,'11. Gestion Administrativa'!$F:$G,2,FALSE),IFERROR(VLOOKUP(D52,'13. Gestión Académica'!$F:$G,2,FALSE),IFERROR(VLOOKUP(D52,'9. Asegura. de la Calid. y M'!$F:$G,2,FALSE),IFERROR(VLOOKUP(D52,'6. Gestión del Conocimiento'!$F:$G,2,FALSE),IFERROR(VLOOKUP(D52,'15. Gobernabilidad y Proceso...'!$F:$G,2,FALSE),IFERROR(VLOOKUP(D52,'12. Gestión del Talento Humano'!$F:$G,2,FALSE),IFERROR(VLOOKUP(D52,'14. Internacional... de la E.S.'!$F:$G,2,FALSE),IFERROR(VLOOKUP(D52,'10. Posgrado'!$F:$G,2,FALSE),IFERROR(VLOOKUP(D52,'17. Gestión TIC'!$F:$G,2,FALSE),IFERROR(VLOOKUP(D52,'16. Desa. del Sistema Educ.Sup.'!$F:$G,2,FALSE),IFERROR(VLOOKUP(D52,'8. Cultura de Inno. Insti...'!$F:$G,2,FALSE),VLOOKUP(D52,'7. Lo Esencial de la Reforma U.'!$F:$G,2,0)))))))))))))))))</f>
        <v xml:space="preserve">Gestionar capacitación con personal de la DIE en el area de las TIC's digiguido al personal Docente </v>
      </c>
      <c r="D53" s="31"/>
      <c r="E53" s="93"/>
      <c r="F53" s="93"/>
      <c r="G53" s="93"/>
      <c r="H53" s="76"/>
      <c r="I53" s="76"/>
      <c r="J53" s="76"/>
      <c r="K53" s="112"/>
    </row>
    <row r="54" spans="3:12" s="465" customFormat="1" ht="15.75" thickBot="1" x14ac:dyDescent="0.3">
      <c r="C54" s="70"/>
      <c r="D54" s="31"/>
      <c r="E54" s="93"/>
      <c r="F54" s="93"/>
      <c r="G54" s="93"/>
      <c r="H54" s="76"/>
      <c r="I54" s="76"/>
      <c r="J54" s="76"/>
      <c r="K54" s="112"/>
    </row>
    <row r="55" spans="3:12" s="465" customFormat="1" ht="30.75" thickBot="1" x14ac:dyDescent="0.3">
      <c r="C55" s="126" t="s">
        <v>44</v>
      </c>
      <c r="D55" s="129" t="s">
        <v>45</v>
      </c>
      <c r="E55" s="128" t="s">
        <v>55</v>
      </c>
      <c r="F55" s="128" t="s">
        <v>57</v>
      </c>
      <c r="G55" s="127" t="s">
        <v>27</v>
      </c>
      <c r="H55" s="133" t="s">
        <v>130</v>
      </c>
      <c r="I55" s="128" t="s">
        <v>46</v>
      </c>
      <c r="J55" s="128" t="s">
        <v>131</v>
      </c>
      <c r="K55" s="128" t="s">
        <v>409</v>
      </c>
      <c r="L55" s="128" t="s">
        <v>410</v>
      </c>
    </row>
    <row r="56" spans="3:12" s="465" customFormat="1" x14ac:dyDescent="0.25">
      <c r="C56" s="326" t="s">
        <v>47</v>
      </c>
      <c r="D56" s="718">
        <v>30</v>
      </c>
      <c r="E56" s="327"/>
      <c r="F56" s="115">
        <v>30000</v>
      </c>
      <c r="G56" s="328">
        <f t="shared" ref="G56:G57" si="7">E56*F56</f>
        <v>0</v>
      </c>
      <c r="H56" s="329"/>
      <c r="I56" s="116" t="s">
        <v>698</v>
      </c>
      <c r="J56" s="116" t="str">
        <f>VLOOKUP(I56,Presupuesto!$B$11:$C$566,2,0)</f>
        <v>SERVICIOS DE CAPACITACION.</v>
      </c>
      <c r="K56" s="330" t="s">
        <v>1357</v>
      </c>
      <c r="L56" s="116" t="s">
        <v>393</v>
      </c>
    </row>
    <row r="57" spans="3:12" s="465" customFormat="1" x14ac:dyDescent="0.25">
      <c r="C57" s="99" t="s">
        <v>49</v>
      </c>
      <c r="D57" s="719"/>
      <c r="E57" s="200">
        <v>90</v>
      </c>
      <c r="F57" s="100">
        <v>35</v>
      </c>
      <c r="G57" s="97">
        <f t="shared" si="7"/>
        <v>3150</v>
      </c>
      <c r="H57" s="161" t="s">
        <v>128</v>
      </c>
      <c r="I57" s="98" t="s">
        <v>791</v>
      </c>
      <c r="J57" s="98" t="str">
        <f>VLOOKUP(I57,Presupuesto!$B$11:$C$566,2,0)</f>
        <v>ALIMENTOS B EBIDAS PARA PERSONAS</v>
      </c>
      <c r="K57" s="98" t="str">
        <f t="shared" ref="K57:K58" si="8">$K$43</f>
        <v>Docencia y Profesorado Universitario</v>
      </c>
      <c r="L57" s="98" t="s">
        <v>395</v>
      </c>
    </row>
    <row r="58" spans="3:12" s="465" customFormat="1" ht="15.75" thickBot="1" x14ac:dyDescent="0.3">
      <c r="C58" s="216" t="s">
        <v>429</v>
      </c>
      <c r="D58" s="217">
        <v>1</v>
      </c>
      <c r="E58" s="331">
        <v>3.5</v>
      </c>
      <c r="F58" s="104">
        <f>HLOOKUP(C58,$AH$2:$BU$3,2,0)</f>
        <v>1150</v>
      </c>
      <c r="G58" s="105">
        <f>D58*E58*F58</f>
        <v>4025</v>
      </c>
      <c r="H58" s="332" t="s">
        <v>128</v>
      </c>
      <c r="I58" s="333" t="s">
        <v>762</v>
      </c>
      <c r="J58" s="106" t="str">
        <f>VLOOKUP(I58,Presupuesto!$B$11:$C$566,2,0)</f>
        <v>VIATICOS NACIONALES</v>
      </c>
      <c r="K58" s="334" t="str">
        <f t="shared" si="8"/>
        <v>Docencia y Profesorado Universitario</v>
      </c>
      <c r="L58" s="334" t="s">
        <v>411</v>
      </c>
    </row>
    <row r="59" spans="3:12" s="465" customFormat="1" x14ac:dyDescent="0.25">
      <c r="C59" s="93"/>
      <c r="E59" s="112"/>
      <c r="F59" s="112"/>
      <c r="G59" s="112"/>
      <c r="H59" s="174"/>
      <c r="I59" s="112"/>
      <c r="J59" s="112"/>
      <c r="K59" s="112"/>
    </row>
    <row r="60" spans="3:12" s="465" customFormat="1" x14ac:dyDescent="0.25">
      <c r="C60" s="93"/>
      <c r="E60" s="112"/>
      <c r="F60" s="112"/>
      <c r="G60" s="112"/>
      <c r="H60" s="174"/>
      <c r="I60" s="112"/>
      <c r="J60" s="112"/>
      <c r="K60" s="112"/>
    </row>
    <row r="61" spans="3:12" ht="15.75" thickBot="1" x14ac:dyDescent="0.3"/>
    <row r="62" spans="3:12" ht="15.75" thickBot="1" x14ac:dyDescent="0.3">
      <c r="C62" s="29" t="s">
        <v>43</v>
      </c>
      <c r="D62" s="30">
        <f>SUM(G69:G72)</f>
        <v>14250</v>
      </c>
      <c r="E62" s="93"/>
      <c r="F62" s="93"/>
      <c r="G62" s="93"/>
      <c r="H62" s="76"/>
      <c r="I62" s="76"/>
      <c r="J62" s="76"/>
      <c r="K62" s="112"/>
    </row>
    <row r="63" spans="3:12" x14ac:dyDescent="0.25">
      <c r="C63" s="70"/>
      <c r="D63" s="31"/>
      <c r="E63" s="93"/>
      <c r="F63" s="93"/>
      <c r="G63" s="93"/>
      <c r="H63" s="76"/>
      <c r="I63" s="76"/>
      <c r="J63" s="76"/>
      <c r="K63" s="112"/>
    </row>
    <row r="64" spans="3:12" x14ac:dyDescent="0.25">
      <c r="C64" s="70"/>
      <c r="D64" s="31"/>
      <c r="E64" s="93"/>
      <c r="F64" s="93"/>
      <c r="G64" s="93"/>
      <c r="H64" s="76"/>
      <c r="I64" s="76"/>
      <c r="J64" s="76"/>
      <c r="K64" s="112"/>
    </row>
    <row r="65" spans="3:12" ht="15.75" x14ac:dyDescent="0.25">
      <c r="C65" s="202" t="s">
        <v>391</v>
      </c>
      <c r="D65" s="368" t="s">
        <v>2224</v>
      </c>
      <c r="E65" s="93"/>
      <c r="F65" s="93"/>
      <c r="G65" s="93"/>
      <c r="H65" s="76"/>
      <c r="I65" s="76"/>
      <c r="J65" s="76"/>
      <c r="K65" s="112"/>
    </row>
    <row r="66" spans="3:12" ht="18.75" x14ac:dyDescent="0.25">
      <c r="C66" s="210" t="str">
        <f>IFERROR(VLOOKUP(D65,'1. Desarrollo e Innov. Curricu.'!$F:$G,2,FALSE),IFERROR(VLOOKUP(D65,'2. Investigación Científica'!$F:$G,2,FALSE),IFERROR(VLOOKUP(D65,'3. Vinculación Univ. Sociedad'!$F:$G,2,FALSE),IFERROR(VLOOKUP(D65,'4. Docencia y Profesorado Univ.'!$F:$G,2,FALSE),IFERROR(VLOOKUP(D65,'5. Estudiantes y Graduados'!$F:$G,2,FALSE),IFERROR(VLOOKUP(D65,'11. Gestion Administrativa'!$F:$G,2,FALSE),IFERROR(VLOOKUP(D65,'13. Gestión Académica'!$F:$G,2,FALSE),IFERROR(VLOOKUP(D65,'9. Asegura. de la Calid. y M'!$F:$G,2,FALSE),IFERROR(VLOOKUP(D65,'6. Gestión del Conocimiento'!$F:$G,2,FALSE),IFERROR(VLOOKUP(D65,'15. Gobernabilidad y Proceso...'!$F:$G,2,FALSE),IFERROR(VLOOKUP(D65,'12. Gestión del Talento Humano'!$F:$G,2,FALSE),IFERROR(VLOOKUP(D65,'14. Internacional... de la E.S.'!$F:$G,2,FALSE),IFERROR(VLOOKUP(D65,'10. Posgrado'!$F:$G,2,FALSE),IFERROR(VLOOKUP(D65,'17. Gestión TIC'!$F:$G,2,FALSE),IFERROR(VLOOKUP(D65,'16. Desa. del Sistema Educ.Sup.'!$F:$G,2,FALSE),IFERROR(VLOOKUP(D65,'8. Cultura de Inno. Insti...'!$F:$G,2,FALSE),VLOOKUP(D65,'7. Lo Esencial de la Reforma U.'!$F:$G,2,0)))))))))))))))))</f>
        <v xml:space="preserve">Gestionar una capacitación con personal de la DEGT a Docentes del Area de Informatica </v>
      </c>
      <c r="D66" s="31"/>
      <c r="E66" s="93"/>
      <c r="F66" s="93"/>
      <c r="G66" s="93"/>
      <c r="H66" s="76"/>
      <c r="I66" s="76"/>
      <c r="J66" s="76"/>
      <c r="K66" s="112"/>
    </row>
    <row r="67" spans="3:12" ht="15.75" thickBot="1" x14ac:dyDescent="0.3">
      <c r="C67" s="70"/>
      <c r="D67" s="31"/>
      <c r="E67" s="93"/>
      <c r="F67" s="93"/>
      <c r="G67" s="93"/>
      <c r="H67" s="76"/>
      <c r="I67" s="76"/>
      <c r="J67" s="76"/>
      <c r="K67" s="112"/>
    </row>
    <row r="68" spans="3:12" ht="30.75" thickBot="1" x14ac:dyDescent="0.3">
      <c r="C68" s="126" t="s">
        <v>44</v>
      </c>
      <c r="D68" s="129" t="s">
        <v>45</v>
      </c>
      <c r="E68" s="128" t="s">
        <v>55</v>
      </c>
      <c r="F68" s="128" t="s">
        <v>57</v>
      </c>
      <c r="G68" s="127" t="s">
        <v>27</v>
      </c>
      <c r="H68" s="133" t="s">
        <v>130</v>
      </c>
      <c r="I68" s="128" t="s">
        <v>46</v>
      </c>
      <c r="J68" s="128" t="s">
        <v>131</v>
      </c>
      <c r="K68" s="128" t="s">
        <v>409</v>
      </c>
      <c r="L68" s="128" t="s">
        <v>410</v>
      </c>
    </row>
    <row r="69" spans="3:12" x14ac:dyDescent="0.25">
      <c r="C69" s="326" t="s">
        <v>47</v>
      </c>
      <c r="D69" s="718">
        <v>8</v>
      </c>
      <c r="E69" s="327"/>
      <c r="F69" s="115">
        <v>30000</v>
      </c>
      <c r="G69" s="328">
        <f t="shared" ref="G69:G71" si="9">E69*F69</f>
        <v>0</v>
      </c>
      <c r="H69" s="329"/>
      <c r="I69" s="116" t="s">
        <v>698</v>
      </c>
      <c r="J69" s="116" t="str">
        <f>VLOOKUP(I69,Presupuesto!$B$11:$C$566,2,0)</f>
        <v>SERVICIOS DE CAPACITACION.</v>
      </c>
      <c r="K69" s="330" t="s">
        <v>1506</v>
      </c>
      <c r="L69" s="116" t="s">
        <v>393</v>
      </c>
    </row>
    <row r="70" spans="3:12" ht="15.75" thickBot="1" x14ac:dyDescent="0.3">
      <c r="C70" s="99" t="s">
        <v>48</v>
      </c>
      <c r="D70" s="719"/>
      <c r="E70" s="200">
        <f>D69</f>
        <v>8</v>
      </c>
      <c r="F70" s="100">
        <v>50</v>
      </c>
      <c r="G70" s="97">
        <f t="shared" si="9"/>
        <v>400</v>
      </c>
      <c r="H70" s="332" t="s">
        <v>128</v>
      </c>
      <c r="I70" s="98" t="s">
        <v>716</v>
      </c>
      <c r="J70" s="98" t="str">
        <f>VLOOKUP(I70,Presupuesto!$B$11:$C$566,2,0)</f>
        <v>SERVICIOS DE IMPRENTA PUBLIC.Y REPRODUCCION</v>
      </c>
      <c r="K70" s="98" t="str">
        <f>$K$69</f>
        <v>Gestión Tecnologías de Información y Comunicación</v>
      </c>
      <c r="L70" s="98" t="s">
        <v>411</v>
      </c>
    </row>
    <row r="71" spans="3:12" ht="15.75" thickBot="1" x14ac:dyDescent="0.3">
      <c r="C71" s="99" t="s">
        <v>49</v>
      </c>
      <c r="D71" s="719"/>
      <c r="E71" s="200">
        <f>D69</f>
        <v>8</v>
      </c>
      <c r="F71" s="100">
        <v>150</v>
      </c>
      <c r="G71" s="97">
        <f t="shared" si="9"/>
        <v>1200</v>
      </c>
      <c r="H71" s="332" t="s">
        <v>128</v>
      </c>
      <c r="I71" s="98" t="s">
        <v>791</v>
      </c>
      <c r="J71" s="98" t="str">
        <f>VLOOKUP(I71,Presupuesto!$B$11:$C$566,2,0)</f>
        <v>ALIMENTOS B EBIDAS PARA PERSONAS</v>
      </c>
      <c r="K71" s="98" t="str">
        <f t="shared" ref="K71:K72" si="10">$K$69</f>
        <v>Gestión Tecnologías de Información y Comunicación</v>
      </c>
      <c r="L71" s="98" t="s">
        <v>395</v>
      </c>
    </row>
    <row r="72" spans="3:12" ht="15.75" thickBot="1" x14ac:dyDescent="0.3">
      <c r="C72" s="216" t="s">
        <v>429</v>
      </c>
      <c r="D72" s="217">
        <v>2</v>
      </c>
      <c r="E72" s="331">
        <v>5.5</v>
      </c>
      <c r="F72" s="104">
        <f>HLOOKUP(C72,$AH$2:$BU$3,2,0)</f>
        <v>1150</v>
      </c>
      <c r="G72" s="105">
        <f>D72*E72*F72</f>
        <v>12650</v>
      </c>
      <c r="H72" s="332" t="s">
        <v>128</v>
      </c>
      <c r="I72" s="333" t="s">
        <v>762</v>
      </c>
      <c r="J72" s="106" t="str">
        <f>VLOOKUP(I72,Presupuesto!$B$11:$C$566,2,0)</f>
        <v>VIATICOS NACIONALES</v>
      </c>
      <c r="K72" s="334" t="str">
        <f t="shared" si="10"/>
        <v>Gestión Tecnologías de Información y Comunicación</v>
      </c>
      <c r="L72" s="334" t="s">
        <v>411</v>
      </c>
    </row>
    <row r="74" spans="3:12" ht="15.75" thickBot="1" x14ac:dyDescent="0.3"/>
    <row r="75" spans="3:12" ht="15.75" thickBot="1" x14ac:dyDescent="0.3">
      <c r="C75" s="29" t="s">
        <v>43</v>
      </c>
      <c r="D75" s="30">
        <f>SUM(G82:G85)</f>
        <v>6450</v>
      </c>
      <c r="E75" s="93"/>
      <c r="F75" s="93"/>
      <c r="G75" s="93"/>
      <c r="H75" s="76"/>
      <c r="I75" s="76"/>
      <c r="J75" s="76"/>
      <c r="K75" s="112"/>
    </row>
    <row r="76" spans="3:12" x14ac:dyDescent="0.25">
      <c r="C76" s="70"/>
      <c r="D76" s="31"/>
      <c r="E76" s="93"/>
      <c r="F76" s="93"/>
      <c r="G76" s="93"/>
      <c r="H76" s="76"/>
      <c r="I76" s="76"/>
      <c r="J76" s="76"/>
      <c r="K76" s="112"/>
    </row>
    <row r="77" spans="3:12" x14ac:dyDescent="0.25">
      <c r="C77" s="70"/>
      <c r="D77" s="31"/>
      <c r="E77" s="93"/>
      <c r="F77" s="93"/>
      <c r="G77" s="93"/>
      <c r="H77" s="76"/>
      <c r="I77" s="76"/>
      <c r="J77" s="76"/>
      <c r="K77" s="112"/>
    </row>
    <row r="78" spans="3:12" ht="15.75" x14ac:dyDescent="0.25">
      <c r="C78" s="202" t="s">
        <v>391</v>
      </c>
      <c r="D78" s="368" t="s">
        <v>2237</v>
      </c>
      <c r="E78" s="93"/>
      <c r="F78" s="93"/>
      <c r="G78" s="93"/>
      <c r="H78" s="76"/>
      <c r="I78" s="76"/>
      <c r="J78" s="76"/>
      <c r="K78" s="112"/>
    </row>
    <row r="79" spans="3:12" ht="18.75" x14ac:dyDescent="0.25">
      <c r="C79" s="210" t="str">
        <f>IFERROR(VLOOKUP(D78,'1. Desarrollo e Innov. Curricu.'!$F:$G,2,FALSE),IFERROR(VLOOKUP(D78,'2. Investigación Científica'!$F:$G,2,FALSE),IFERROR(VLOOKUP(D78,'3. Vinculación Univ. Sociedad'!$F:$G,2,FALSE),IFERROR(VLOOKUP(D78,'4. Docencia y Profesorado Univ.'!$F:$G,2,FALSE),IFERROR(VLOOKUP(D78,'5. Estudiantes y Graduados'!$F:$G,2,FALSE),IFERROR(VLOOKUP(D78,'11. Gestion Administrativa'!$F:$G,2,FALSE),IFERROR(VLOOKUP(D78,'13. Gestión Académica'!$F:$G,2,FALSE),IFERROR(VLOOKUP(D78,'9. Asegura. de la Calid. y M'!$F:$G,2,FALSE),IFERROR(VLOOKUP(D78,'6. Gestión del Conocimiento'!$F:$G,2,FALSE),IFERROR(VLOOKUP(D78,'15. Gobernabilidad y Proceso...'!$F:$G,2,FALSE),IFERROR(VLOOKUP(D78,'12. Gestión del Talento Humano'!$F:$G,2,FALSE),IFERROR(VLOOKUP(D78,'14. Internacional... de la E.S.'!$F:$G,2,FALSE),IFERROR(VLOOKUP(D78,'10. Posgrado'!$F:$G,2,FALSE),IFERROR(VLOOKUP(D78,'17. Gestión TIC'!$F:$G,2,FALSE),IFERROR(VLOOKUP(D78,'16. Desa. del Sistema Educ.Sup.'!$F:$G,2,FALSE),IFERROR(VLOOKUP(D78,'8. Cultura de Inno. Insti...'!$F:$G,2,FALSE),VLOOKUP(D78,'7. Lo Esencial de la Reforma U.'!$F:$G,2,0)))))))))))))))))</f>
        <v xml:space="preserve">Brindar  3 cursos del area de informatica dirigido a los estudiantes de la carrera </v>
      </c>
      <c r="D79" s="31"/>
      <c r="E79" s="93"/>
      <c r="F79" s="93"/>
      <c r="G79" s="93"/>
      <c r="H79" s="76"/>
      <c r="I79" s="76"/>
      <c r="J79" s="76"/>
      <c r="K79" s="112"/>
    </row>
    <row r="80" spans="3:12" ht="15.75" thickBot="1" x14ac:dyDescent="0.3">
      <c r="C80" s="70"/>
      <c r="D80" s="31"/>
      <c r="E80" s="93"/>
      <c r="F80" s="93"/>
      <c r="G80" s="93"/>
      <c r="H80" s="76"/>
      <c r="I80" s="76"/>
      <c r="J80" s="76"/>
      <c r="K80" s="112"/>
    </row>
    <row r="81" spans="3:12" ht="30.75" thickBot="1" x14ac:dyDescent="0.3">
      <c r="C81" s="126" t="s">
        <v>44</v>
      </c>
      <c r="D81" s="129" t="s">
        <v>45</v>
      </c>
      <c r="E81" s="128" t="s">
        <v>55</v>
      </c>
      <c r="F81" s="128" t="s">
        <v>57</v>
      </c>
      <c r="G81" s="127" t="s">
        <v>27</v>
      </c>
      <c r="H81" s="133" t="s">
        <v>130</v>
      </c>
      <c r="I81" s="128" t="s">
        <v>46</v>
      </c>
      <c r="J81" s="128" t="s">
        <v>131</v>
      </c>
      <c r="K81" s="128" t="s">
        <v>409</v>
      </c>
      <c r="L81" s="128" t="s">
        <v>410</v>
      </c>
    </row>
    <row r="82" spans="3:12" x14ac:dyDescent="0.25">
      <c r="C82" s="326" t="s">
        <v>47</v>
      </c>
      <c r="D82" s="718">
        <v>120</v>
      </c>
      <c r="E82" s="327"/>
      <c r="F82" s="115">
        <v>30000</v>
      </c>
      <c r="G82" s="328">
        <f t="shared" ref="G82:G84" si="11">E82*F82</f>
        <v>0</v>
      </c>
      <c r="H82" s="329"/>
      <c r="I82" s="116" t="s">
        <v>698</v>
      </c>
      <c r="J82" s="116" t="str">
        <f>VLOOKUP(I82,Presupuesto!$B$11:$C$566,2,0)</f>
        <v>SERVICIOS DE CAPACITACION.</v>
      </c>
      <c r="K82" s="330" t="s">
        <v>1506</v>
      </c>
      <c r="L82" s="116" t="s">
        <v>393</v>
      </c>
    </row>
    <row r="83" spans="3:12" x14ac:dyDescent="0.25">
      <c r="C83" s="99" t="s">
        <v>2238</v>
      </c>
      <c r="D83" s="719"/>
      <c r="E83" s="200">
        <v>90</v>
      </c>
      <c r="F83" s="100">
        <v>25</v>
      </c>
      <c r="G83" s="97">
        <f t="shared" si="11"/>
        <v>2250</v>
      </c>
      <c r="H83" s="161"/>
      <c r="I83" s="98" t="s">
        <v>716</v>
      </c>
      <c r="J83" s="98" t="str">
        <f>VLOOKUP(I83,Presupuesto!$B$11:$C$566,2,0)</f>
        <v>SERVICIOS DE IMPRENTA PUBLIC.Y REPRODUCCION</v>
      </c>
      <c r="K83" s="98" t="str">
        <f>$K$82</f>
        <v>Gestión Tecnologías de Información y Comunicación</v>
      </c>
      <c r="L83" s="98" t="s">
        <v>411</v>
      </c>
    </row>
    <row r="84" spans="3:12" x14ac:dyDescent="0.25">
      <c r="C84" s="99" t="s">
        <v>49</v>
      </c>
      <c r="D84" s="719"/>
      <c r="E84" s="200">
        <f>D82</f>
        <v>120</v>
      </c>
      <c r="F84" s="100">
        <v>35</v>
      </c>
      <c r="G84" s="97">
        <f t="shared" si="11"/>
        <v>4200</v>
      </c>
      <c r="H84" s="161"/>
      <c r="I84" s="98" t="s">
        <v>791</v>
      </c>
      <c r="J84" s="98" t="str">
        <f>VLOOKUP(I84,Presupuesto!$B$11:$C$566,2,0)</f>
        <v>ALIMENTOS B EBIDAS PARA PERSONAS</v>
      </c>
      <c r="K84" s="98" t="str">
        <f t="shared" ref="K84:K85" si="12">$K$82</f>
        <v>Gestión Tecnologías de Información y Comunicación</v>
      </c>
      <c r="L84" s="98" t="s">
        <v>395</v>
      </c>
    </row>
    <row r="85" spans="3:12" ht="15.75" thickBot="1" x14ac:dyDescent="0.3">
      <c r="C85" s="216" t="s">
        <v>429</v>
      </c>
      <c r="D85" s="217">
        <v>0</v>
      </c>
      <c r="E85" s="331">
        <v>0</v>
      </c>
      <c r="F85" s="104">
        <f>HLOOKUP(C85,$AH$2:$BU$3,2,0)</f>
        <v>1150</v>
      </c>
      <c r="G85" s="105">
        <f>D85*E85*F85</f>
        <v>0</v>
      </c>
      <c r="H85" s="332"/>
      <c r="I85" s="333" t="s">
        <v>300</v>
      </c>
      <c r="J85" s="106" t="str">
        <f>VLOOKUP(I85,Presupuesto!$B$11:$C$566,2,0)</f>
        <v>VIATICOS (26200-00)</v>
      </c>
      <c r="K85" s="334" t="str">
        <f t="shared" si="12"/>
        <v>Gestión Tecnologías de Información y Comunicación</v>
      </c>
      <c r="L85" s="334" t="s">
        <v>411</v>
      </c>
    </row>
    <row r="86" spans="3:12" x14ac:dyDescent="0.25">
      <c r="C86" s="93"/>
      <c r="E86" s="112"/>
      <c r="F86" s="112"/>
      <c r="G86" s="112"/>
      <c r="H86" s="174"/>
      <c r="I86" s="112"/>
      <c r="J86" s="112"/>
      <c r="K86" s="112"/>
    </row>
    <row r="87" spans="3:12" ht="15.75" thickBot="1" x14ac:dyDescent="0.3"/>
    <row r="88" spans="3:12" ht="15.75" thickBot="1" x14ac:dyDescent="0.3">
      <c r="C88" s="29" t="s">
        <v>43</v>
      </c>
      <c r="D88" s="30">
        <f>SUM(G95:G95)</f>
        <v>4950</v>
      </c>
      <c r="E88" s="93"/>
      <c r="F88" s="93"/>
      <c r="G88" s="93"/>
      <c r="H88" s="76"/>
      <c r="I88" s="76"/>
      <c r="J88" s="76"/>
      <c r="K88" s="112"/>
    </row>
    <row r="89" spans="3:12" x14ac:dyDescent="0.25">
      <c r="C89" s="70"/>
      <c r="D89" s="31"/>
      <c r="E89" s="93"/>
      <c r="F89" s="93"/>
      <c r="G89" s="93"/>
      <c r="H89" s="76"/>
      <c r="I89" s="76"/>
      <c r="J89" s="76"/>
      <c r="K89" s="112"/>
    </row>
    <row r="90" spans="3:12" x14ac:dyDescent="0.25">
      <c r="C90" s="70"/>
      <c r="D90" s="31"/>
      <c r="E90" s="93"/>
      <c r="F90" s="93"/>
      <c r="G90" s="93"/>
      <c r="H90" s="76"/>
      <c r="I90" s="76"/>
      <c r="J90" s="76"/>
      <c r="K90" s="112"/>
    </row>
    <row r="91" spans="3:12" ht="15.75" x14ac:dyDescent="0.25">
      <c r="C91" s="202" t="s">
        <v>391</v>
      </c>
      <c r="D91" s="368" t="s">
        <v>2456</v>
      </c>
      <c r="E91" s="93"/>
      <c r="F91" s="93"/>
      <c r="G91" s="93"/>
      <c r="H91" s="76"/>
      <c r="I91" s="76"/>
      <c r="J91" s="76"/>
      <c r="K91" s="112"/>
    </row>
    <row r="92" spans="3:12" ht="18.75" x14ac:dyDescent="0.25">
      <c r="C92" s="210" t="str">
        <f>IFERROR(VLOOKUP(D91,'1. Desarrollo e Innov. Curricu.'!$F:$G,2,FALSE),IFERROR(VLOOKUP(D91,'2. Investigación Científica'!$F:$G,2,FALSE),IFERROR(VLOOKUP(D91,'3. Vinculación Univ. Sociedad'!$F:$G,2,FALSE),IFERROR(VLOOKUP(D91,'4. Docencia y Profesorado Univ.'!$F:$G,2,FALSE),IFERROR(VLOOKUP(D91,'5. Estudiantes y Graduados'!$F:$G,2,FALSE),IFERROR(VLOOKUP(D91,'11. Gestion Administrativa'!$F:$G,2,FALSE),IFERROR(VLOOKUP(D91,'13. Gestión Académica'!$F:$G,2,FALSE),IFERROR(VLOOKUP(D91,'9. Asegura. de la Calid. y M'!$F:$G,2,FALSE),IFERROR(VLOOKUP(D91,'6. Gestión del Conocimiento'!$F:$G,2,FALSE),IFERROR(VLOOKUP(D91,'15. Gobernabilidad y Proceso...'!$F:$G,2,FALSE),IFERROR(VLOOKUP(D91,'12. Gestión del Talento Humano'!$F:$G,2,FALSE),IFERROR(VLOOKUP(D91,'14. Internacional... de la E.S.'!$F:$G,2,FALSE),IFERROR(VLOOKUP(D91,'10. Posgrado'!$F:$G,2,FALSE),IFERROR(VLOOKUP(D91,'17. Gestión TIC'!$F:$G,2,FALSE),IFERROR(VLOOKUP(D91,'16. Desa. del Sistema Educ.Sup.'!$F:$G,2,FALSE),IFERROR(VLOOKUP(D91,'8. Cultura de Inno. Insti...'!$F:$G,2,FALSE),VLOOKUP(D91,'7. Lo Esencial de la Reforma U.'!$F:$G,2,0)))))))))))))))))</f>
        <v>Crear al menos 3 cursos a estudiantes de ing. agroindustrial</v>
      </c>
      <c r="D92" s="31"/>
      <c r="E92" s="93"/>
      <c r="F92" s="93"/>
      <c r="G92" s="93"/>
      <c r="H92" s="76"/>
      <c r="I92" s="76"/>
      <c r="J92" s="76"/>
      <c r="K92" s="112"/>
    </row>
    <row r="93" spans="3:12" ht="15.75" thickBot="1" x14ac:dyDescent="0.3">
      <c r="C93" s="70"/>
      <c r="D93" s="31"/>
      <c r="E93" s="93"/>
      <c r="F93" s="93"/>
      <c r="G93" s="93"/>
      <c r="H93" s="76"/>
      <c r="I93" s="76"/>
      <c r="J93" s="76"/>
      <c r="K93" s="112"/>
    </row>
    <row r="94" spans="3:12" ht="30.75" thickBot="1" x14ac:dyDescent="0.3">
      <c r="C94" s="126" t="s">
        <v>44</v>
      </c>
      <c r="D94" s="129" t="s">
        <v>45</v>
      </c>
      <c r="E94" s="128" t="s">
        <v>55</v>
      </c>
      <c r="F94" s="128" t="s">
        <v>57</v>
      </c>
      <c r="G94" s="127" t="s">
        <v>27</v>
      </c>
      <c r="H94" s="133" t="s">
        <v>130</v>
      </c>
      <c r="I94" s="128" t="s">
        <v>46</v>
      </c>
      <c r="J94" s="128" t="s">
        <v>131</v>
      </c>
      <c r="K94" s="128" t="s">
        <v>409</v>
      </c>
      <c r="L94" s="128" t="s">
        <v>410</v>
      </c>
    </row>
    <row r="95" spans="3:12" ht="15.75" thickBot="1" x14ac:dyDescent="0.3">
      <c r="C95" s="216" t="s">
        <v>433</v>
      </c>
      <c r="D95" s="217">
        <v>2</v>
      </c>
      <c r="E95" s="331">
        <v>2.75</v>
      </c>
      <c r="F95" s="104">
        <f>HLOOKUP(C95,$AH$2:$BU$3,2,0)</f>
        <v>900</v>
      </c>
      <c r="G95" s="105">
        <f>D95*E95*F95</f>
        <v>4950</v>
      </c>
      <c r="H95" s="332" t="s">
        <v>128</v>
      </c>
      <c r="I95" s="333" t="s">
        <v>762</v>
      </c>
      <c r="J95" s="106" t="str">
        <f>VLOOKUP(I95,Presupuesto!$B$11:$C$566,2,0)</f>
        <v>VIATICOS NACIONALES</v>
      </c>
      <c r="K95" s="334" t="s">
        <v>1359</v>
      </c>
      <c r="L95" s="334" t="s">
        <v>411</v>
      </c>
    </row>
    <row r="97" spans="3:12" ht="15.75" thickBot="1" x14ac:dyDescent="0.3"/>
    <row r="98" spans="3:12" ht="15.75" thickBot="1" x14ac:dyDescent="0.3">
      <c r="C98" s="29" t="s">
        <v>43</v>
      </c>
      <c r="D98" s="30">
        <f>SUM(G105:G108)</f>
        <v>21300</v>
      </c>
      <c r="E98" s="93"/>
      <c r="F98" s="93"/>
      <c r="G98" s="93"/>
      <c r="H98" s="76"/>
      <c r="I98" s="76"/>
      <c r="J98" s="76"/>
      <c r="K98" s="112"/>
    </row>
    <row r="99" spans="3:12" x14ac:dyDescent="0.25">
      <c r="C99" s="70"/>
      <c r="D99" s="31"/>
      <c r="E99" s="93"/>
      <c r="F99" s="93"/>
      <c r="G99" s="93"/>
      <c r="H99" s="76"/>
      <c r="I99" s="76"/>
      <c r="J99" s="76"/>
      <c r="K99" s="112"/>
    </row>
    <row r="100" spans="3:12" x14ac:dyDescent="0.25">
      <c r="C100" s="70"/>
      <c r="D100" s="31"/>
      <c r="E100" s="93"/>
      <c r="F100" s="93"/>
      <c r="G100" s="93"/>
      <c r="H100" s="76"/>
      <c r="I100" s="76"/>
      <c r="J100" s="76"/>
      <c r="K100" s="112"/>
    </row>
    <row r="101" spans="3:12" ht="15.75" x14ac:dyDescent="0.25">
      <c r="C101" s="202" t="s">
        <v>391</v>
      </c>
      <c r="D101" s="368" t="s">
        <v>2461</v>
      </c>
      <c r="E101" s="93"/>
      <c r="F101" s="93"/>
      <c r="G101" s="93"/>
      <c r="H101" s="76"/>
      <c r="I101" s="76"/>
      <c r="J101" s="76"/>
      <c r="K101" s="112"/>
    </row>
    <row r="102" spans="3:12" ht="18.75" x14ac:dyDescent="0.25">
      <c r="C102" s="210"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 xml:space="preserve"> 4 cursos para docentes, estudiantes y graduados en avances  cientificos y tecnologicos ,en las ciencias de la enfermeria .</v>
      </c>
      <c r="D102" s="31"/>
      <c r="E102" s="93"/>
      <c r="F102" s="93"/>
      <c r="G102" s="93"/>
      <c r="H102" s="76"/>
      <c r="I102" s="76"/>
      <c r="J102" s="76"/>
      <c r="K102" s="112"/>
    </row>
    <row r="103" spans="3:12" ht="15.75" thickBot="1" x14ac:dyDescent="0.3">
      <c r="C103" s="70"/>
      <c r="D103" s="31"/>
      <c r="E103" s="93"/>
      <c r="F103" s="93"/>
      <c r="G103" s="93"/>
      <c r="H103" s="76"/>
      <c r="I103" s="76"/>
      <c r="J103" s="76"/>
      <c r="K103" s="112"/>
    </row>
    <row r="104" spans="3:12" ht="30.75" thickBot="1" x14ac:dyDescent="0.3">
      <c r="C104" s="126" t="s">
        <v>44</v>
      </c>
      <c r="D104" s="129" t="s">
        <v>45</v>
      </c>
      <c r="E104" s="128" t="s">
        <v>55</v>
      </c>
      <c r="F104" s="128" t="s">
        <v>57</v>
      </c>
      <c r="G104" s="127" t="s">
        <v>27</v>
      </c>
      <c r="H104" s="133" t="s">
        <v>130</v>
      </c>
      <c r="I104" s="128" t="s">
        <v>46</v>
      </c>
      <c r="J104" s="128" t="s">
        <v>131</v>
      </c>
      <c r="K104" s="128" t="s">
        <v>409</v>
      </c>
      <c r="L104" s="128" t="s">
        <v>410</v>
      </c>
    </row>
    <row r="105" spans="3:12" x14ac:dyDescent="0.25">
      <c r="C105" s="326" t="s">
        <v>47</v>
      </c>
      <c r="D105" s="718">
        <v>120</v>
      </c>
      <c r="E105" s="327"/>
      <c r="F105" s="115">
        <v>30000</v>
      </c>
      <c r="G105" s="328">
        <f t="shared" ref="G105:G107" si="13">E105*F105</f>
        <v>0</v>
      </c>
      <c r="H105" s="329"/>
      <c r="I105" s="116" t="s">
        <v>698</v>
      </c>
      <c r="J105" s="116" t="str">
        <f>VLOOKUP(I105,Presupuesto!$B$11:$C$566,2,0)</f>
        <v>SERVICIOS DE CAPACITACION.</v>
      </c>
      <c r="K105" s="330" t="s">
        <v>1359</v>
      </c>
      <c r="L105" s="116" t="s">
        <v>393</v>
      </c>
    </row>
    <row r="106" spans="3:12" x14ac:dyDescent="0.25">
      <c r="C106" s="99" t="s">
        <v>48</v>
      </c>
      <c r="D106" s="719"/>
      <c r="E106" s="200">
        <f>D105</f>
        <v>120</v>
      </c>
      <c r="F106" s="100">
        <v>15</v>
      </c>
      <c r="G106" s="97">
        <f t="shared" si="13"/>
        <v>1800</v>
      </c>
      <c r="H106" s="161" t="s">
        <v>128</v>
      </c>
      <c r="I106" s="98" t="s">
        <v>716</v>
      </c>
      <c r="J106" s="98" t="str">
        <f>VLOOKUP(I106,Presupuesto!$B$11:$C$566,2,0)</f>
        <v>SERVICIOS DE IMPRENTA PUBLIC.Y REPRODUCCION</v>
      </c>
      <c r="K106" s="98" t="str">
        <f>$K$105</f>
        <v>Estudiantes y Graduados</v>
      </c>
      <c r="L106" s="98" t="s">
        <v>411</v>
      </c>
    </row>
    <row r="107" spans="3:12" x14ac:dyDescent="0.25">
      <c r="C107" s="99" t="s">
        <v>49</v>
      </c>
      <c r="D107" s="719"/>
      <c r="E107" s="200">
        <v>780</v>
      </c>
      <c r="F107" s="100">
        <v>25</v>
      </c>
      <c r="G107" s="97">
        <f t="shared" si="13"/>
        <v>19500</v>
      </c>
      <c r="H107" s="161" t="s">
        <v>128</v>
      </c>
      <c r="I107" s="98" t="s">
        <v>791</v>
      </c>
      <c r="J107" s="98" t="str">
        <f>VLOOKUP(I107,Presupuesto!$B$11:$C$566,2,0)</f>
        <v>ALIMENTOS B EBIDAS PARA PERSONAS</v>
      </c>
      <c r="K107" s="98" t="str">
        <f>$K$105</f>
        <v>Estudiantes y Graduados</v>
      </c>
      <c r="L107" s="98" t="s">
        <v>395</v>
      </c>
    </row>
    <row r="108" spans="3:12" ht="15.75" thickBot="1" x14ac:dyDescent="0.3">
      <c r="C108" s="216" t="s">
        <v>429</v>
      </c>
      <c r="D108" s="217">
        <v>0</v>
      </c>
      <c r="E108" s="331">
        <v>0</v>
      </c>
      <c r="F108" s="104">
        <f>HLOOKUP(C108,$AH$2:$BU$3,2,0)</f>
        <v>1150</v>
      </c>
      <c r="G108" s="105">
        <f>D108*E108*F108</f>
        <v>0</v>
      </c>
      <c r="H108" s="332"/>
      <c r="I108" s="333" t="s">
        <v>300</v>
      </c>
      <c r="J108" s="106" t="str">
        <f>VLOOKUP(I108,Presupuesto!$B$11:$C$566,2,0)</f>
        <v>VIATICOS (26200-00)</v>
      </c>
      <c r="K108" s="334" t="str">
        <f>$K$105</f>
        <v>Estudiantes y Graduados</v>
      </c>
      <c r="L108" s="334" t="s">
        <v>411</v>
      </c>
    </row>
    <row r="109" spans="3:12" x14ac:dyDescent="0.25">
      <c r="C109" s="93"/>
      <c r="E109" s="112"/>
      <c r="F109" s="112"/>
      <c r="G109" s="112"/>
      <c r="H109" s="174"/>
      <c r="I109" s="112"/>
      <c r="J109" s="112"/>
      <c r="K109" s="112"/>
    </row>
    <row r="110" spans="3:12" ht="15.75" thickBot="1" x14ac:dyDescent="0.3"/>
    <row r="111" spans="3:12" ht="15.75" thickBot="1" x14ac:dyDescent="0.3">
      <c r="C111" s="29" t="s">
        <v>43</v>
      </c>
      <c r="D111" s="30">
        <f>SUM(G118:G127)</f>
        <v>0</v>
      </c>
      <c r="E111" s="93"/>
      <c r="F111" s="93"/>
      <c r="G111" s="93"/>
      <c r="H111" s="76"/>
      <c r="I111" s="76"/>
      <c r="J111" s="76"/>
      <c r="K111" s="112"/>
    </row>
    <row r="112" spans="3:12" x14ac:dyDescent="0.25">
      <c r="C112" s="70"/>
      <c r="D112" s="31"/>
      <c r="E112" s="93"/>
      <c r="F112" s="93"/>
      <c r="G112" s="93"/>
      <c r="H112" s="76"/>
      <c r="I112" s="76"/>
      <c r="J112" s="76"/>
      <c r="K112" s="112"/>
    </row>
    <row r="113" spans="3:12" x14ac:dyDescent="0.25">
      <c r="C113" s="70"/>
      <c r="D113" s="31"/>
      <c r="E113" s="93"/>
      <c r="F113" s="93"/>
      <c r="G113" s="93"/>
      <c r="H113" s="76"/>
      <c r="I113" s="76"/>
      <c r="J113" s="76"/>
      <c r="K113" s="112"/>
    </row>
    <row r="114" spans="3:12" ht="15.75" x14ac:dyDescent="0.25">
      <c r="C114" s="202" t="s">
        <v>391</v>
      </c>
      <c r="D114" s="368"/>
      <c r="E114" s="93"/>
      <c r="F114" s="93"/>
      <c r="G114" s="93"/>
      <c r="H114" s="76"/>
      <c r="I114" s="76"/>
      <c r="J114" s="76"/>
      <c r="K114" s="112"/>
    </row>
    <row r="115" spans="3:12" ht="18.75" x14ac:dyDescent="0.25">
      <c r="C115" s="210" t="e">
        <f>IFERROR(VLOOKUP(D114,'1. Desarrollo e Innov. Curricu.'!$F:$G,2,FALSE),IFERROR(VLOOKUP(D114,'2. Investigación Científica'!$F:$G,2,FALSE),IFERROR(VLOOKUP(D114,'3. Vinculación Univ. Sociedad'!$F:$G,2,FALSE),IFERROR(VLOOKUP(D114,'4. Docencia y Profesorado Univ.'!$F:$G,2,FALSE),IFERROR(VLOOKUP(D114,'5. Estudiantes y Graduados'!$F:$G,2,FALSE),IFERROR(VLOOKUP(D114,'11. Gestion Administrativa'!$F:$G,2,FALSE),IFERROR(VLOOKUP(D114,'13. Gestión Académica'!$F:$G,2,FALSE),IFERROR(VLOOKUP(D114,'9. Asegura. de la Calid. y M'!$F:$G,2,FALSE),IFERROR(VLOOKUP(D114,'6. Gestión del Conocimiento'!$F:$G,2,FALSE),IFERROR(VLOOKUP(D114,'15. Gobernabilidad y Proceso...'!$F:$G,2,FALSE),IFERROR(VLOOKUP(D114,'12. Gestión del Talento Humano'!$F:$G,2,FALSE),IFERROR(VLOOKUP(D114,'14. Internacional... de la E.S.'!$F:$G,2,FALSE),IFERROR(VLOOKUP(D114,'10. Posgrado'!$F:$G,2,FALSE),IFERROR(VLOOKUP(D114,'17. Gestión TIC'!$F:$G,2,FALSE),IFERROR(VLOOKUP(D114,'16. Desa. del Sistema Educ.Sup.'!$F:$G,2,FALSE),IFERROR(VLOOKUP(D114,'8. Cultura de Inno. Insti...'!$F:$G,2,FALSE),VLOOKUP(D114,'7. Lo Esencial de la Reforma U.'!$F:$G,2,0)))))))))))))))))</f>
        <v>#N/A</v>
      </c>
      <c r="D115" s="31"/>
      <c r="E115" s="93"/>
      <c r="F115" s="93"/>
      <c r="G115" s="93"/>
      <c r="H115" s="76"/>
      <c r="I115" s="76"/>
      <c r="J115" s="76"/>
      <c r="K115" s="112"/>
    </row>
    <row r="116" spans="3:12" ht="15.75" thickBot="1" x14ac:dyDescent="0.3">
      <c r="C116" s="70"/>
      <c r="D116" s="31"/>
      <c r="E116" s="93"/>
      <c r="F116" s="93"/>
      <c r="G116" s="93"/>
      <c r="H116" s="76"/>
      <c r="I116" s="76"/>
      <c r="J116" s="76"/>
      <c r="K116" s="112"/>
    </row>
    <row r="117" spans="3:12" ht="30.75" thickBot="1" x14ac:dyDescent="0.3">
      <c r="C117" s="126" t="s">
        <v>44</v>
      </c>
      <c r="D117" s="129" t="s">
        <v>45</v>
      </c>
      <c r="E117" s="128" t="s">
        <v>55</v>
      </c>
      <c r="F117" s="128" t="s">
        <v>57</v>
      </c>
      <c r="G117" s="127" t="s">
        <v>27</v>
      </c>
      <c r="H117" s="133" t="s">
        <v>130</v>
      </c>
      <c r="I117" s="128" t="s">
        <v>46</v>
      </c>
      <c r="J117" s="128" t="s">
        <v>131</v>
      </c>
      <c r="K117" s="128" t="s">
        <v>409</v>
      </c>
      <c r="L117" s="128" t="s">
        <v>410</v>
      </c>
    </row>
    <row r="118" spans="3:12" x14ac:dyDescent="0.25">
      <c r="C118" s="326" t="s">
        <v>47</v>
      </c>
      <c r="D118" s="718"/>
      <c r="E118" s="327"/>
      <c r="F118" s="115">
        <v>30000</v>
      </c>
      <c r="G118" s="328">
        <f t="shared" ref="G118:G126" si="14">E118*F118</f>
        <v>0</v>
      </c>
      <c r="H118" s="329"/>
      <c r="I118" s="116" t="s">
        <v>698</v>
      </c>
      <c r="J118" s="116" t="str">
        <f>VLOOKUP(I118,Presupuesto!$B$11:$C$566,2,0)</f>
        <v>SERVICIOS DE CAPACITACION.</v>
      </c>
      <c r="K118" s="330" t="s">
        <v>1506</v>
      </c>
      <c r="L118" s="116" t="s">
        <v>393</v>
      </c>
    </row>
    <row r="119" spans="3:12" x14ac:dyDescent="0.25">
      <c r="C119" s="99" t="s">
        <v>48</v>
      </c>
      <c r="D119" s="719"/>
      <c r="E119" s="200">
        <f>D118</f>
        <v>0</v>
      </c>
      <c r="F119" s="100">
        <v>50</v>
      </c>
      <c r="G119" s="97">
        <f t="shared" si="14"/>
        <v>0</v>
      </c>
      <c r="H119" s="161"/>
      <c r="I119" s="98" t="s">
        <v>716</v>
      </c>
      <c r="J119" s="98" t="str">
        <f>VLOOKUP(I119,Presupuesto!$B$11:$C$566,2,0)</f>
        <v>SERVICIOS DE IMPRENTA PUBLIC.Y REPRODUCCION</v>
      </c>
      <c r="K119" s="98" t="str">
        <f>$K$118</f>
        <v>Gestión Tecnologías de Información y Comunicación</v>
      </c>
      <c r="L119" s="98" t="s">
        <v>411</v>
      </c>
    </row>
    <row r="120" spans="3:12" x14ac:dyDescent="0.25">
      <c r="C120" s="99" t="s">
        <v>49</v>
      </c>
      <c r="D120" s="719"/>
      <c r="E120" s="200">
        <f>D118</f>
        <v>0</v>
      </c>
      <c r="F120" s="100">
        <v>150</v>
      </c>
      <c r="G120" s="97">
        <f t="shared" si="14"/>
        <v>0</v>
      </c>
      <c r="H120" s="161"/>
      <c r="I120" s="98" t="s">
        <v>791</v>
      </c>
      <c r="J120" s="98" t="str">
        <f>VLOOKUP(I120,Presupuesto!$B$11:$C$566,2,0)</f>
        <v>ALIMENTOS B EBIDAS PARA PERSONAS</v>
      </c>
      <c r="K120" s="98" t="str">
        <f t="shared" ref="K120:K127" si="15">$K$118</f>
        <v>Gestión Tecnologías de Información y Comunicación</v>
      </c>
      <c r="L120" s="98" t="s">
        <v>395</v>
      </c>
    </row>
    <row r="121" spans="3:12" x14ac:dyDescent="0.25">
      <c r="C121" s="99" t="s">
        <v>50</v>
      </c>
      <c r="D121" s="719"/>
      <c r="E121" s="151">
        <v>0</v>
      </c>
      <c r="F121" s="118">
        <v>10000</v>
      </c>
      <c r="G121" s="97">
        <f t="shared" si="14"/>
        <v>0</v>
      </c>
      <c r="H121" s="161"/>
      <c r="I121" s="321" t="s">
        <v>299</v>
      </c>
      <c r="J121" s="98" t="str">
        <f>VLOOKUP(I121,Presupuesto!$B$11:$C$566,2,0)</f>
        <v>PASAJES (26100-00)</v>
      </c>
      <c r="K121" s="98" t="str">
        <f t="shared" si="15"/>
        <v>Gestión Tecnologías de Información y Comunicación</v>
      </c>
      <c r="L121" s="98" t="s">
        <v>411</v>
      </c>
    </row>
    <row r="122" spans="3:12" x14ac:dyDescent="0.25">
      <c r="C122" s="99" t="s">
        <v>416</v>
      </c>
      <c r="D122" s="719"/>
      <c r="E122" s="151">
        <v>0</v>
      </c>
      <c r="F122" s="118">
        <v>250</v>
      </c>
      <c r="G122" s="97">
        <f t="shared" si="14"/>
        <v>0</v>
      </c>
      <c r="H122" s="161"/>
      <c r="I122" s="98" t="s">
        <v>820</v>
      </c>
      <c r="J122" s="98" t="str">
        <f>VLOOKUP(I122,Presupuesto!$B$11:$C$566,2,0)</f>
        <v>PRODUCTOS PAPEL Y CARTON</v>
      </c>
      <c r="K122" s="98" t="str">
        <f t="shared" si="15"/>
        <v>Gestión Tecnologías de Información y Comunicación</v>
      </c>
      <c r="L122" s="98" t="s">
        <v>411</v>
      </c>
    </row>
    <row r="123" spans="3:12" x14ac:dyDescent="0.25">
      <c r="C123" s="99" t="s">
        <v>51</v>
      </c>
      <c r="D123" s="719"/>
      <c r="E123" s="200">
        <f>(D118*25)/500</f>
        <v>0</v>
      </c>
      <c r="F123" s="100">
        <v>85</v>
      </c>
      <c r="G123" s="97">
        <f t="shared" si="14"/>
        <v>0</v>
      </c>
      <c r="H123" s="161"/>
      <c r="I123" s="98" t="s">
        <v>820</v>
      </c>
      <c r="J123" s="98" t="str">
        <f>VLOOKUP(I123,Presupuesto!$B$11:$C$566,2,0)</f>
        <v>PRODUCTOS PAPEL Y CARTON</v>
      </c>
      <c r="K123" s="98" t="str">
        <f t="shared" si="15"/>
        <v>Gestión Tecnologías de Información y Comunicación</v>
      </c>
      <c r="L123" s="98" t="s">
        <v>411</v>
      </c>
    </row>
    <row r="124" spans="3:12" x14ac:dyDescent="0.25">
      <c r="C124" s="99" t="s">
        <v>122</v>
      </c>
      <c r="D124" s="719"/>
      <c r="E124" s="200">
        <f>D118/12</f>
        <v>0</v>
      </c>
      <c r="F124" s="100">
        <v>36</v>
      </c>
      <c r="G124" s="97">
        <f t="shared" si="14"/>
        <v>0</v>
      </c>
      <c r="H124" s="161"/>
      <c r="I124" s="98" t="s">
        <v>941</v>
      </c>
      <c r="J124" s="98" t="str">
        <f>VLOOKUP(I124,Presupuesto!$B$11:$C$566,2,0)</f>
        <v>UTILES DE ESCRITORIO, OFICINA Y ENSE¥ANZA</v>
      </c>
      <c r="K124" s="98" t="str">
        <f t="shared" si="15"/>
        <v>Gestión Tecnologías de Información y Comunicación</v>
      </c>
      <c r="L124" s="98" t="s">
        <v>411</v>
      </c>
    </row>
    <row r="125" spans="3:12" x14ac:dyDescent="0.25">
      <c r="C125" s="99" t="s">
        <v>34</v>
      </c>
      <c r="D125" s="719"/>
      <c r="E125" s="200">
        <f>D118/12</f>
        <v>0</v>
      </c>
      <c r="F125" s="100">
        <v>80</v>
      </c>
      <c r="G125" s="97">
        <f t="shared" si="14"/>
        <v>0</v>
      </c>
      <c r="H125" s="161"/>
      <c r="I125" s="98" t="s">
        <v>941</v>
      </c>
      <c r="J125" s="98" t="str">
        <f>VLOOKUP(I125,Presupuesto!$B$11:$C$566,2,0)</f>
        <v>UTILES DE ESCRITORIO, OFICINA Y ENSE¥ANZA</v>
      </c>
      <c r="K125" s="98" t="str">
        <f t="shared" si="15"/>
        <v>Gestión Tecnologías de Información y Comunicación</v>
      </c>
      <c r="L125" s="98" t="s">
        <v>411</v>
      </c>
    </row>
    <row r="126" spans="3:12" x14ac:dyDescent="0.25">
      <c r="C126" s="109" t="s">
        <v>52</v>
      </c>
      <c r="D126" s="719"/>
      <c r="E126" s="212">
        <v>0</v>
      </c>
      <c r="F126" s="119">
        <v>25</v>
      </c>
      <c r="G126" s="97">
        <f t="shared" si="14"/>
        <v>0</v>
      </c>
      <c r="H126" s="161"/>
      <c r="I126" s="98" t="s">
        <v>941</v>
      </c>
      <c r="J126" s="98" t="str">
        <f>VLOOKUP(I126,Presupuesto!$B$11:$C$566,2,0)</f>
        <v>UTILES DE ESCRITORIO, OFICINA Y ENSE¥ANZA</v>
      </c>
      <c r="K126" s="98" t="str">
        <f t="shared" si="15"/>
        <v>Gestión Tecnologías de Información y Comunicación</v>
      </c>
      <c r="L126" s="98" t="s">
        <v>411</v>
      </c>
    </row>
    <row r="127" spans="3:12" ht="15.75" thickBot="1" x14ac:dyDescent="0.3">
      <c r="C127" s="216" t="s">
        <v>429</v>
      </c>
      <c r="D127" s="217">
        <v>0</v>
      </c>
      <c r="E127" s="331">
        <v>0</v>
      </c>
      <c r="F127" s="104">
        <f>HLOOKUP(C127,$AH$2:$BU$3,2,0)</f>
        <v>1150</v>
      </c>
      <c r="G127" s="105">
        <f>D127*E127*F127</f>
        <v>0</v>
      </c>
      <c r="H127" s="332"/>
      <c r="I127" s="333" t="s">
        <v>300</v>
      </c>
      <c r="J127" s="106" t="str">
        <f>VLOOKUP(I127,Presupuesto!$B$11:$C$566,2,0)</f>
        <v>VIATICOS (26200-00)</v>
      </c>
      <c r="K127" s="334" t="str">
        <f t="shared" si="15"/>
        <v>Gestión Tecnologías de Información y Comunicación</v>
      </c>
      <c r="L127" s="334" t="s">
        <v>411</v>
      </c>
    </row>
    <row r="129" spans="3:12" ht="15.75" thickBot="1" x14ac:dyDescent="0.3"/>
    <row r="130" spans="3:12" ht="15.75" thickBot="1" x14ac:dyDescent="0.3">
      <c r="C130" s="29" t="s">
        <v>43</v>
      </c>
      <c r="D130" s="30">
        <f>SUM(G137:G146)</f>
        <v>0</v>
      </c>
      <c r="E130" s="93"/>
      <c r="F130" s="93"/>
      <c r="G130" s="93"/>
      <c r="H130" s="76"/>
      <c r="I130" s="76"/>
      <c r="J130" s="76"/>
      <c r="K130" s="112"/>
    </row>
    <row r="131" spans="3:12" x14ac:dyDescent="0.25">
      <c r="C131" s="70"/>
      <c r="D131" s="31"/>
      <c r="E131" s="93"/>
      <c r="F131" s="93"/>
      <c r="G131" s="93"/>
      <c r="H131" s="76"/>
      <c r="I131" s="76"/>
      <c r="J131" s="76"/>
      <c r="K131" s="112"/>
    </row>
    <row r="132" spans="3:12" x14ac:dyDescent="0.25">
      <c r="C132" s="70"/>
      <c r="D132" s="31"/>
      <c r="E132" s="93"/>
      <c r="F132" s="93"/>
      <c r="G132" s="93"/>
      <c r="H132" s="76"/>
      <c r="I132" s="76"/>
      <c r="J132" s="76"/>
      <c r="K132" s="112"/>
    </row>
    <row r="133" spans="3:12" ht="15.75" x14ac:dyDescent="0.25">
      <c r="C133" s="202" t="s">
        <v>391</v>
      </c>
      <c r="D133" s="368"/>
      <c r="E133" s="93"/>
      <c r="F133" s="93"/>
      <c r="G133" s="93"/>
      <c r="H133" s="76"/>
      <c r="I133" s="76"/>
      <c r="J133" s="76"/>
      <c r="K133" s="112"/>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12"/>
    </row>
    <row r="135" spans="3:12" ht="15.75" thickBot="1" x14ac:dyDescent="0.3">
      <c r="C135" s="70"/>
      <c r="D135" s="31"/>
      <c r="E135" s="93"/>
      <c r="F135" s="93"/>
      <c r="G135" s="93"/>
      <c r="H135" s="76"/>
      <c r="I135" s="76"/>
      <c r="J135" s="76"/>
      <c r="K135" s="112"/>
    </row>
    <row r="136" spans="3:12" ht="30.75" thickBot="1" x14ac:dyDescent="0.3">
      <c r="C136" s="126" t="s">
        <v>44</v>
      </c>
      <c r="D136" s="129" t="s">
        <v>45</v>
      </c>
      <c r="E136" s="128" t="s">
        <v>55</v>
      </c>
      <c r="F136" s="128" t="s">
        <v>57</v>
      </c>
      <c r="G136" s="127" t="s">
        <v>27</v>
      </c>
      <c r="H136" s="133" t="s">
        <v>130</v>
      </c>
      <c r="I136" s="128" t="s">
        <v>46</v>
      </c>
      <c r="J136" s="128" t="s">
        <v>131</v>
      </c>
      <c r="K136" s="128" t="s">
        <v>409</v>
      </c>
      <c r="L136" s="128" t="s">
        <v>410</v>
      </c>
    </row>
    <row r="137" spans="3:12" x14ac:dyDescent="0.25">
      <c r="C137" s="326" t="s">
        <v>47</v>
      </c>
      <c r="D137" s="718"/>
      <c r="E137" s="327"/>
      <c r="F137" s="115">
        <v>30000</v>
      </c>
      <c r="G137" s="328">
        <f t="shared" ref="G137:G145" si="16">E137*F137</f>
        <v>0</v>
      </c>
      <c r="H137" s="329"/>
      <c r="I137" s="116" t="s">
        <v>698</v>
      </c>
      <c r="J137" s="116" t="str">
        <f>VLOOKUP(I137,Presupuesto!$B$11:$C$566,2,0)</f>
        <v>SERVICIOS DE CAPACITACION.</v>
      </c>
      <c r="K137" s="330" t="s">
        <v>1506</v>
      </c>
      <c r="L137" s="116" t="s">
        <v>393</v>
      </c>
    </row>
    <row r="138" spans="3:12" x14ac:dyDescent="0.25">
      <c r="C138" s="99" t="s">
        <v>48</v>
      </c>
      <c r="D138" s="719"/>
      <c r="E138" s="200">
        <f>D137</f>
        <v>0</v>
      </c>
      <c r="F138" s="100">
        <v>50</v>
      </c>
      <c r="G138" s="97">
        <f t="shared" si="16"/>
        <v>0</v>
      </c>
      <c r="H138" s="161"/>
      <c r="I138" s="98" t="s">
        <v>716</v>
      </c>
      <c r="J138" s="98" t="str">
        <f>VLOOKUP(I138,Presupuesto!$B$11:$C$566,2,0)</f>
        <v>SERVICIOS DE IMPRENTA PUBLIC.Y REPRODUCCION</v>
      </c>
      <c r="K138" s="98" t="str">
        <f>$K$137</f>
        <v>Gestión Tecnologías de Información y Comunicación</v>
      </c>
      <c r="L138" s="98" t="s">
        <v>411</v>
      </c>
    </row>
    <row r="139" spans="3:12" x14ac:dyDescent="0.25">
      <c r="C139" s="99" t="s">
        <v>49</v>
      </c>
      <c r="D139" s="719"/>
      <c r="E139" s="200">
        <f>D137</f>
        <v>0</v>
      </c>
      <c r="F139" s="100">
        <v>150</v>
      </c>
      <c r="G139" s="97">
        <f t="shared" si="16"/>
        <v>0</v>
      </c>
      <c r="H139" s="161"/>
      <c r="I139" s="98" t="s">
        <v>791</v>
      </c>
      <c r="J139" s="98" t="str">
        <f>VLOOKUP(I139,Presupuesto!$B$11:$C$566,2,0)</f>
        <v>ALIMENTOS B EBIDAS PARA PERSONAS</v>
      </c>
      <c r="K139" s="98" t="str">
        <f t="shared" ref="K139:K146" si="17">$K$137</f>
        <v>Gestión Tecnologías de Información y Comunicación</v>
      </c>
      <c r="L139" s="98" t="s">
        <v>395</v>
      </c>
    </row>
    <row r="140" spans="3:12" x14ac:dyDescent="0.25">
      <c r="C140" s="99" t="s">
        <v>50</v>
      </c>
      <c r="D140" s="719"/>
      <c r="E140" s="151">
        <v>0</v>
      </c>
      <c r="F140" s="118">
        <v>10000</v>
      </c>
      <c r="G140" s="97">
        <f t="shared" si="16"/>
        <v>0</v>
      </c>
      <c r="H140" s="161"/>
      <c r="I140" s="321" t="s">
        <v>299</v>
      </c>
      <c r="J140" s="98" t="str">
        <f>VLOOKUP(I140,Presupuesto!$B$11:$C$566,2,0)</f>
        <v>PASAJES (26100-00)</v>
      </c>
      <c r="K140" s="98" t="str">
        <f t="shared" si="17"/>
        <v>Gestión Tecnologías de Información y Comunicación</v>
      </c>
      <c r="L140" s="98" t="s">
        <v>411</v>
      </c>
    </row>
    <row r="141" spans="3:12" x14ac:dyDescent="0.25">
      <c r="C141" s="99" t="s">
        <v>416</v>
      </c>
      <c r="D141" s="719"/>
      <c r="E141" s="151">
        <v>0</v>
      </c>
      <c r="F141" s="118">
        <v>250</v>
      </c>
      <c r="G141" s="97">
        <f t="shared" si="16"/>
        <v>0</v>
      </c>
      <c r="H141" s="161"/>
      <c r="I141" s="98" t="s">
        <v>820</v>
      </c>
      <c r="J141" s="98" t="str">
        <f>VLOOKUP(I141,Presupuesto!$B$11:$C$566,2,0)</f>
        <v>PRODUCTOS PAPEL Y CARTON</v>
      </c>
      <c r="K141" s="98" t="str">
        <f t="shared" si="17"/>
        <v>Gestión Tecnologías de Información y Comunicación</v>
      </c>
      <c r="L141" s="98" t="s">
        <v>411</v>
      </c>
    </row>
    <row r="142" spans="3:12" x14ac:dyDescent="0.25">
      <c r="C142" s="99" t="s">
        <v>51</v>
      </c>
      <c r="D142" s="719"/>
      <c r="E142" s="200">
        <f>(D137*25)/500</f>
        <v>0</v>
      </c>
      <c r="F142" s="100">
        <v>85</v>
      </c>
      <c r="G142" s="97">
        <f t="shared" si="16"/>
        <v>0</v>
      </c>
      <c r="H142" s="161"/>
      <c r="I142" s="98" t="s">
        <v>820</v>
      </c>
      <c r="J142" s="98" t="str">
        <f>VLOOKUP(I142,Presupuesto!$B$11:$C$566,2,0)</f>
        <v>PRODUCTOS PAPEL Y CARTON</v>
      </c>
      <c r="K142" s="98" t="str">
        <f t="shared" si="17"/>
        <v>Gestión Tecnologías de Información y Comunicación</v>
      </c>
      <c r="L142" s="98" t="s">
        <v>411</v>
      </c>
    </row>
    <row r="143" spans="3:12" x14ac:dyDescent="0.25">
      <c r="C143" s="99" t="s">
        <v>122</v>
      </c>
      <c r="D143" s="719"/>
      <c r="E143" s="200">
        <f>D137/12</f>
        <v>0</v>
      </c>
      <c r="F143" s="100">
        <v>36</v>
      </c>
      <c r="G143" s="97">
        <f t="shared" si="16"/>
        <v>0</v>
      </c>
      <c r="H143" s="161"/>
      <c r="I143" s="98" t="s">
        <v>941</v>
      </c>
      <c r="J143" s="98" t="str">
        <f>VLOOKUP(I143,Presupuesto!$B$11:$C$566,2,0)</f>
        <v>UTILES DE ESCRITORIO, OFICINA Y ENSE¥ANZA</v>
      </c>
      <c r="K143" s="98" t="str">
        <f t="shared" si="17"/>
        <v>Gestión Tecnologías de Información y Comunicación</v>
      </c>
      <c r="L143" s="98" t="s">
        <v>411</v>
      </c>
    </row>
    <row r="144" spans="3:12" x14ac:dyDescent="0.25">
      <c r="C144" s="99" t="s">
        <v>34</v>
      </c>
      <c r="D144" s="719"/>
      <c r="E144" s="200">
        <f>D137/12</f>
        <v>0</v>
      </c>
      <c r="F144" s="100">
        <v>80</v>
      </c>
      <c r="G144" s="97">
        <f t="shared" si="16"/>
        <v>0</v>
      </c>
      <c r="H144" s="161"/>
      <c r="I144" s="98" t="s">
        <v>941</v>
      </c>
      <c r="J144" s="98" t="str">
        <f>VLOOKUP(I144,Presupuesto!$B$11:$C$566,2,0)</f>
        <v>UTILES DE ESCRITORIO, OFICINA Y ENSE¥ANZA</v>
      </c>
      <c r="K144" s="98" t="str">
        <f t="shared" si="17"/>
        <v>Gestión Tecnologías de Información y Comunicación</v>
      </c>
      <c r="L144" s="98" t="s">
        <v>411</v>
      </c>
    </row>
    <row r="145" spans="3:12" x14ac:dyDescent="0.25">
      <c r="C145" s="109" t="s">
        <v>52</v>
      </c>
      <c r="D145" s="719"/>
      <c r="E145" s="212">
        <v>0</v>
      </c>
      <c r="F145" s="119">
        <v>25</v>
      </c>
      <c r="G145" s="97">
        <f t="shared" si="16"/>
        <v>0</v>
      </c>
      <c r="H145" s="161"/>
      <c r="I145" s="98" t="s">
        <v>941</v>
      </c>
      <c r="J145" s="98" t="str">
        <f>VLOOKUP(I145,Presupuesto!$B$11:$C$566,2,0)</f>
        <v>UTILES DE ESCRITORIO, OFICINA Y ENSE¥ANZA</v>
      </c>
      <c r="K145" s="98" t="str">
        <f t="shared" si="17"/>
        <v>Gestión Tecnologías de Información y Comunicación</v>
      </c>
      <c r="L145" s="98" t="s">
        <v>411</v>
      </c>
    </row>
    <row r="146" spans="3:12" ht="15.75" thickBot="1" x14ac:dyDescent="0.3">
      <c r="C146" s="216" t="s">
        <v>429</v>
      </c>
      <c r="D146" s="217">
        <v>0</v>
      </c>
      <c r="E146" s="331">
        <v>0</v>
      </c>
      <c r="F146" s="104">
        <f>HLOOKUP(C146,$AH$2:$BU$3,2,0)</f>
        <v>1150</v>
      </c>
      <c r="G146" s="105">
        <f>D146*E146*F146</f>
        <v>0</v>
      </c>
      <c r="H146" s="332"/>
      <c r="I146" s="333" t="s">
        <v>300</v>
      </c>
      <c r="J146" s="106" t="str">
        <f>VLOOKUP(I146,Presupuesto!$B$11:$C$566,2,0)</f>
        <v>VIATICOS (26200-00)</v>
      </c>
      <c r="K146" s="334" t="str">
        <f t="shared" si="17"/>
        <v>Gestión Tecnologías de Información y Comunicación</v>
      </c>
      <c r="L146" s="334" t="s">
        <v>411</v>
      </c>
    </row>
    <row r="147" spans="3:12" x14ac:dyDescent="0.25">
      <c r="C147" s="93"/>
      <c r="E147" s="112"/>
      <c r="F147" s="112"/>
      <c r="G147" s="112"/>
      <c r="H147" s="174"/>
      <c r="I147" s="112"/>
      <c r="J147" s="112"/>
      <c r="K147" s="112"/>
    </row>
    <row r="148" spans="3:12" ht="15.75" thickBot="1" x14ac:dyDescent="0.3"/>
    <row r="149" spans="3:12" ht="15.75" thickBot="1" x14ac:dyDescent="0.3">
      <c r="C149" s="29" t="s">
        <v>43</v>
      </c>
      <c r="D149" s="30">
        <f>SUM(G156:G165)</f>
        <v>0</v>
      </c>
      <c r="E149" s="93"/>
      <c r="F149" s="93"/>
      <c r="G149" s="93"/>
      <c r="H149" s="76"/>
      <c r="I149" s="76"/>
      <c r="J149" s="76"/>
      <c r="K149" s="112"/>
    </row>
    <row r="150" spans="3:12" x14ac:dyDescent="0.25">
      <c r="C150" s="70"/>
      <c r="D150" s="31"/>
      <c r="E150" s="93"/>
      <c r="F150" s="93"/>
      <c r="G150" s="93"/>
      <c r="H150" s="76"/>
      <c r="I150" s="76"/>
      <c r="J150" s="76"/>
      <c r="K150" s="112"/>
    </row>
    <row r="151" spans="3:12" x14ac:dyDescent="0.25">
      <c r="C151" s="70"/>
      <c r="D151" s="31"/>
      <c r="E151" s="93"/>
      <c r="F151" s="93"/>
      <c r="G151" s="93"/>
      <c r="H151" s="76"/>
      <c r="I151" s="76"/>
      <c r="J151" s="76"/>
      <c r="K151" s="112"/>
    </row>
    <row r="152" spans="3:12" ht="15.75" x14ac:dyDescent="0.25">
      <c r="C152" s="202" t="s">
        <v>391</v>
      </c>
      <c r="D152" s="368"/>
      <c r="E152" s="93"/>
      <c r="F152" s="93"/>
      <c r="G152" s="93"/>
      <c r="H152" s="76"/>
      <c r="I152" s="76"/>
      <c r="J152" s="76"/>
      <c r="K152" s="112"/>
    </row>
    <row r="153" spans="3:12" ht="18.75" x14ac:dyDescent="0.25">
      <c r="C153" s="210" t="e">
        <f>IFERROR(VLOOKUP(D152,'1. Desarrollo e Innov. Curricu.'!$F:$G,2,FALSE),IFERROR(VLOOKUP(D152,'2. Investigación Científica'!$F:$G,2,FALSE),IFERROR(VLOOKUP(D152,'3. Vinculación Univ. Sociedad'!$F:$G,2,FALSE),IFERROR(VLOOKUP(D152,'4. Docencia y Profesorado Univ.'!$F:$G,2,FALSE),IFERROR(VLOOKUP(D152,'5. Estudiantes y Graduados'!$F:$G,2,FALSE),IFERROR(VLOOKUP(D152,'11. Gestion Administrativa'!$F:$G,2,FALSE),IFERROR(VLOOKUP(D152,'13. Gestión Académica'!$F:$G,2,FALSE),IFERROR(VLOOKUP(D152,'9. Asegura. de la Calid. y M'!$F:$G,2,FALSE),IFERROR(VLOOKUP(D152,'6. Gestión del Conocimiento'!$F:$G,2,FALSE),IFERROR(VLOOKUP(D152,'15. Gobernabilidad y Proceso...'!$F:$G,2,FALSE),IFERROR(VLOOKUP(D152,'12. Gestión del Talento Humano'!$F:$G,2,FALSE),IFERROR(VLOOKUP(D152,'14. Internacional... de la E.S.'!$F:$G,2,FALSE),IFERROR(VLOOKUP(D152,'10. Posgrado'!$F:$G,2,FALSE),IFERROR(VLOOKUP(D152,'17. Gestión TIC'!$F:$G,2,FALSE),IFERROR(VLOOKUP(D152,'16. Desa. del Sistema Educ.Sup.'!$F:$G,2,FALSE),IFERROR(VLOOKUP(D152,'8. Cultura de Inno. Insti...'!$F:$G,2,FALSE),VLOOKUP(D152,'7. Lo Esencial de la Reforma U.'!$F:$G,2,0)))))))))))))))))</f>
        <v>#N/A</v>
      </c>
      <c r="D153" s="31"/>
      <c r="E153" s="93"/>
      <c r="F153" s="93"/>
      <c r="G153" s="93"/>
      <c r="H153" s="76"/>
      <c r="I153" s="76"/>
      <c r="J153" s="76"/>
      <c r="K153" s="112"/>
    </row>
    <row r="154" spans="3:12" ht="15.75" thickBot="1" x14ac:dyDescent="0.3">
      <c r="C154" s="70"/>
      <c r="D154" s="31"/>
      <c r="E154" s="93"/>
      <c r="F154" s="93"/>
      <c r="G154" s="93"/>
      <c r="H154" s="76"/>
      <c r="I154" s="76"/>
      <c r="J154" s="76"/>
      <c r="K154" s="112"/>
    </row>
    <row r="155" spans="3:12" ht="30.75" thickBot="1" x14ac:dyDescent="0.3">
      <c r="C155" s="126" t="s">
        <v>44</v>
      </c>
      <c r="D155" s="129" t="s">
        <v>45</v>
      </c>
      <c r="E155" s="128" t="s">
        <v>55</v>
      </c>
      <c r="F155" s="128" t="s">
        <v>57</v>
      </c>
      <c r="G155" s="127" t="s">
        <v>27</v>
      </c>
      <c r="H155" s="133" t="s">
        <v>130</v>
      </c>
      <c r="I155" s="128" t="s">
        <v>46</v>
      </c>
      <c r="J155" s="128" t="s">
        <v>131</v>
      </c>
      <c r="K155" s="128" t="s">
        <v>409</v>
      </c>
      <c r="L155" s="128" t="s">
        <v>410</v>
      </c>
    </row>
    <row r="156" spans="3:12" x14ac:dyDescent="0.25">
      <c r="C156" s="326" t="s">
        <v>47</v>
      </c>
      <c r="D156" s="718"/>
      <c r="E156" s="327"/>
      <c r="F156" s="115">
        <v>30000</v>
      </c>
      <c r="G156" s="328">
        <f t="shared" ref="G156:G164" si="18">E156*F156</f>
        <v>0</v>
      </c>
      <c r="H156" s="329"/>
      <c r="I156" s="116" t="s">
        <v>698</v>
      </c>
      <c r="J156" s="116" t="str">
        <f>VLOOKUP(I156,Presupuesto!$B$11:$C$566,2,0)</f>
        <v>SERVICIOS DE CAPACITACION.</v>
      </c>
      <c r="K156" s="330" t="s">
        <v>1506</v>
      </c>
      <c r="L156" s="116" t="s">
        <v>393</v>
      </c>
    </row>
    <row r="157" spans="3:12" x14ac:dyDescent="0.25">
      <c r="C157" s="99" t="s">
        <v>48</v>
      </c>
      <c r="D157" s="719"/>
      <c r="E157" s="200">
        <f>D156</f>
        <v>0</v>
      </c>
      <c r="F157" s="100">
        <v>50</v>
      </c>
      <c r="G157" s="97">
        <f t="shared" si="18"/>
        <v>0</v>
      </c>
      <c r="H157" s="161"/>
      <c r="I157" s="98" t="s">
        <v>716</v>
      </c>
      <c r="J157" s="98" t="str">
        <f>VLOOKUP(I157,Presupuesto!$B$11:$C$566,2,0)</f>
        <v>SERVICIOS DE IMPRENTA PUBLIC.Y REPRODUCCION</v>
      </c>
      <c r="K157" s="98" t="str">
        <f>$K$156</f>
        <v>Gestión Tecnologías de Información y Comunicación</v>
      </c>
      <c r="L157" s="98" t="s">
        <v>411</v>
      </c>
    </row>
    <row r="158" spans="3:12" x14ac:dyDescent="0.25">
      <c r="C158" s="99" t="s">
        <v>49</v>
      </c>
      <c r="D158" s="719"/>
      <c r="E158" s="200">
        <f>D156</f>
        <v>0</v>
      </c>
      <c r="F158" s="100">
        <v>150</v>
      </c>
      <c r="G158" s="97">
        <f t="shared" si="18"/>
        <v>0</v>
      </c>
      <c r="H158" s="161"/>
      <c r="I158" s="98" t="s">
        <v>791</v>
      </c>
      <c r="J158" s="98" t="str">
        <f>VLOOKUP(I158,Presupuesto!$B$11:$C$566,2,0)</f>
        <v>ALIMENTOS B EBIDAS PARA PERSONAS</v>
      </c>
      <c r="K158" s="98" t="str">
        <f t="shared" ref="K158:K165" si="19">$K$156</f>
        <v>Gestión Tecnologías de Información y Comunicación</v>
      </c>
      <c r="L158" s="98" t="s">
        <v>395</v>
      </c>
    </row>
    <row r="159" spans="3:12" x14ac:dyDescent="0.25">
      <c r="C159" s="99" t="s">
        <v>50</v>
      </c>
      <c r="D159" s="719"/>
      <c r="E159" s="151">
        <v>0</v>
      </c>
      <c r="F159" s="118">
        <v>10000</v>
      </c>
      <c r="G159" s="97">
        <f t="shared" si="18"/>
        <v>0</v>
      </c>
      <c r="H159" s="161"/>
      <c r="I159" s="321" t="s">
        <v>299</v>
      </c>
      <c r="J159" s="98" t="str">
        <f>VLOOKUP(I159,Presupuesto!$B$11:$C$566,2,0)</f>
        <v>PASAJES (26100-00)</v>
      </c>
      <c r="K159" s="98" t="str">
        <f t="shared" si="19"/>
        <v>Gestión Tecnologías de Información y Comunicación</v>
      </c>
      <c r="L159" s="98" t="s">
        <v>411</v>
      </c>
    </row>
    <row r="160" spans="3:12" x14ac:dyDescent="0.25">
      <c r="C160" s="99" t="s">
        <v>416</v>
      </c>
      <c r="D160" s="719"/>
      <c r="E160" s="151">
        <v>0</v>
      </c>
      <c r="F160" s="118">
        <v>250</v>
      </c>
      <c r="G160" s="97">
        <f t="shared" si="18"/>
        <v>0</v>
      </c>
      <c r="H160" s="161"/>
      <c r="I160" s="98" t="s">
        <v>820</v>
      </c>
      <c r="J160" s="98" t="str">
        <f>VLOOKUP(I160,Presupuesto!$B$11:$C$566,2,0)</f>
        <v>PRODUCTOS PAPEL Y CARTON</v>
      </c>
      <c r="K160" s="98" t="str">
        <f t="shared" si="19"/>
        <v>Gestión Tecnologías de Información y Comunicación</v>
      </c>
      <c r="L160" s="98" t="s">
        <v>411</v>
      </c>
    </row>
    <row r="161" spans="3:12" x14ac:dyDescent="0.25">
      <c r="C161" s="99" t="s">
        <v>51</v>
      </c>
      <c r="D161" s="719"/>
      <c r="E161" s="200">
        <f>(D156*25)/500</f>
        <v>0</v>
      </c>
      <c r="F161" s="100">
        <v>85</v>
      </c>
      <c r="G161" s="97">
        <f t="shared" si="18"/>
        <v>0</v>
      </c>
      <c r="H161" s="161"/>
      <c r="I161" s="98" t="s">
        <v>820</v>
      </c>
      <c r="J161" s="98" t="str">
        <f>VLOOKUP(I161,Presupuesto!$B$11:$C$566,2,0)</f>
        <v>PRODUCTOS PAPEL Y CARTON</v>
      </c>
      <c r="K161" s="98" t="str">
        <f t="shared" si="19"/>
        <v>Gestión Tecnologías de Información y Comunicación</v>
      </c>
      <c r="L161" s="98" t="s">
        <v>411</v>
      </c>
    </row>
    <row r="162" spans="3:12" x14ac:dyDescent="0.25">
      <c r="C162" s="99" t="s">
        <v>122</v>
      </c>
      <c r="D162" s="719"/>
      <c r="E162" s="200">
        <f>D156/12</f>
        <v>0</v>
      </c>
      <c r="F162" s="100">
        <v>36</v>
      </c>
      <c r="G162" s="97">
        <f t="shared" si="18"/>
        <v>0</v>
      </c>
      <c r="H162" s="161"/>
      <c r="I162" s="98" t="s">
        <v>941</v>
      </c>
      <c r="J162" s="98" t="str">
        <f>VLOOKUP(I162,Presupuesto!$B$11:$C$566,2,0)</f>
        <v>UTILES DE ESCRITORIO, OFICINA Y ENSE¥ANZA</v>
      </c>
      <c r="K162" s="98" t="str">
        <f t="shared" si="19"/>
        <v>Gestión Tecnologías de Información y Comunicación</v>
      </c>
      <c r="L162" s="98" t="s">
        <v>411</v>
      </c>
    </row>
    <row r="163" spans="3:12" x14ac:dyDescent="0.25">
      <c r="C163" s="99" t="s">
        <v>34</v>
      </c>
      <c r="D163" s="719"/>
      <c r="E163" s="200">
        <f>D156/12</f>
        <v>0</v>
      </c>
      <c r="F163" s="100">
        <v>80</v>
      </c>
      <c r="G163" s="97">
        <f t="shared" si="18"/>
        <v>0</v>
      </c>
      <c r="H163" s="161"/>
      <c r="I163" s="98" t="s">
        <v>941</v>
      </c>
      <c r="J163" s="98" t="str">
        <f>VLOOKUP(I163,Presupuesto!$B$11:$C$566,2,0)</f>
        <v>UTILES DE ESCRITORIO, OFICINA Y ENSE¥ANZA</v>
      </c>
      <c r="K163" s="98" t="str">
        <f t="shared" si="19"/>
        <v>Gestión Tecnologías de Información y Comunicación</v>
      </c>
      <c r="L163" s="98" t="s">
        <v>411</v>
      </c>
    </row>
    <row r="164" spans="3:12" x14ac:dyDescent="0.25">
      <c r="C164" s="109" t="s">
        <v>52</v>
      </c>
      <c r="D164" s="719"/>
      <c r="E164" s="212">
        <v>0</v>
      </c>
      <c r="F164" s="119">
        <v>25</v>
      </c>
      <c r="G164" s="97">
        <f t="shared" si="18"/>
        <v>0</v>
      </c>
      <c r="H164" s="161"/>
      <c r="I164" s="98" t="s">
        <v>941</v>
      </c>
      <c r="J164" s="98" t="str">
        <f>VLOOKUP(I164,Presupuesto!$B$11:$C$566,2,0)</f>
        <v>UTILES DE ESCRITORIO, OFICINA Y ENSE¥ANZA</v>
      </c>
      <c r="K164" s="98" t="str">
        <f t="shared" si="19"/>
        <v>Gestión Tecnologías de Información y Comunicación</v>
      </c>
      <c r="L164" s="98" t="s">
        <v>411</v>
      </c>
    </row>
    <row r="165" spans="3:12" ht="15.75" thickBot="1" x14ac:dyDescent="0.3">
      <c r="C165" s="216" t="s">
        <v>429</v>
      </c>
      <c r="D165" s="217">
        <v>0</v>
      </c>
      <c r="E165" s="331">
        <v>0</v>
      </c>
      <c r="F165" s="104">
        <f>HLOOKUP(C165,$AH$2:$BU$3,2,0)</f>
        <v>1150</v>
      </c>
      <c r="G165" s="105">
        <f>D165*E165*F165</f>
        <v>0</v>
      </c>
      <c r="H165" s="332"/>
      <c r="I165" s="333" t="s">
        <v>300</v>
      </c>
      <c r="J165" s="106" t="str">
        <f>VLOOKUP(I165,Presupuesto!$B$11:$C$566,2,0)</f>
        <v>VIATICOS (26200-00)</v>
      </c>
      <c r="K165" s="334" t="str">
        <f t="shared" si="19"/>
        <v>Gestión Tecnologías de Información y Comunicación</v>
      </c>
      <c r="L165" s="334" t="s">
        <v>411</v>
      </c>
    </row>
    <row r="167" spans="3:12" ht="15.75" thickBot="1" x14ac:dyDescent="0.3"/>
    <row r="168" spans="3:12" ht="15.75" thickBot="1" x14ac:dyDescent="0.3">
      <c r="C168" s="29" t="s">
        <v>43</v>
      </c>
      <c r="D168" s="30">
        <f>SUM(G175:G184)</f>
        <v>0</v>
      </c>
      <c r="E168" s="93"/>
      <c r="F168" s="93"/>
      <c r="G168" s="93"/>
      <c r="H168" s="76"/>
      <c r="I168" s="76"/>
      <c r="J168" s="76"/>
      <c r="K168" s="112"/>
    </row>
    <row r="169" spans="3:12" x14ac:dyDescent="0.25">
      <c r="C169" s="70"/>
      <c r="D169" s="31"/>
      <c r="E169" s="93"/>
      <c r="F169" s="93"/>
      <c r="G169" s="93"/>
      <c r="H169" s="76"/>
      <c r="I169" s="76"/>
      <c r="J169" s="76"/>
      <c r="K169" s="112"/>
    </row>
    <row r="170" spans="3:12" x14ac:dyDescent="0.25">
      <c r="C170" s="70"/>
      <c r="D170" s="31"/>
      <c r="E170" s="93"/>
      <c r="F170" s="93"/>
      <c r="G170" s="93"/>
      <c r="H170" s="76"/>
      <c r="I170" s="76"/>
      <c r="J170" s="76"/>
      <c r="K170" s="112"/>
    </row>
    <row r="171" spans="3:12" ht="15.75" x14ac:dyDescent="0.25">
      <c r="C171" s="202" t="s">
        <v>391</v>
      </c>
      <c r="D171" s="368"/>
      <c r="E171" s="93"/>
      <c r="F171" s="93"/>
      <c r="G171" s="93"/>
      <c r="H171" s="76"/>
      <c r="I171" s="76"/>
      <c r="J171" s="76"/>
      <c r="K171" s="112"/>
    </row>
    <row r="172" spans="3:12" ht="18.75" x14ac:dyDescent="0.25">
      <c r="C172" s="210" t="e">
        <f>IFERROR(VLOOKUP(D171,'1. Desarrollo e Innov. Curricu.'!$F:$G,2,FALSE),IFERROR(VLOOKUP(D171,'2. Investigación Científica'!$F:$G,2,FALSE),IFERROR(VLOOKUP(D171,'3. Vinculación Univ. Sociedad'!$F:$G,2,FALSE),IFERROR(VLOOKUP(D171,'4. Docencia y Profesorado Univ.'!$F:$G,2,FALSE),IFERROR(VLOOKUP(D171,'5. Estudiantes y Graduados'!$F:$G,2,FALSE),IFERROR(VLOOKUP(D171,'11. Gestion Administrativa'!$F:$G,2,FALSE),IFERROR(VLOOKUP(D171,'13. Gestión Académica'!$F:$G,2,FALSE),IFERROR(VLOOKUP(D171,'9. Asegura. de la Calid. y M'!$F:$G,2,FALSE),IFERROR(VLOOKUP(D171,'6. Gestión del Conocimiento'!$F:$G,2,FALSE),IFERROR(VLOOKUP(D171,'15. Gobernabilidad y Proceso...'!$F:$G,2,FALSE),IFERROR(VLOOKUP(D171,'12. Gestión del Talento Humano'!$F:$G,2,FALSE),IFERROR(VLOOKUP(D171,'14. Internacional... de la E.S.'!$F:$G,2,FALSE),IFERROR(VLOOKUP(D171,'10. Posgrado'!$F:$G,2,FALSE),IFERROR(VLOOKUP(D171,'17. Gestión TIC'!$F:$G,2,FALSE),IFERROR(VLOOKUP(D171,'16. Desa. del Sistema Educ.Sup.'!$F:$G,2,FALSE),IFERROR(VLOOKUP(D171,'8. Cultura de Inno. Insti...'!$F:$G,2,FALSE),VLOOKUP(D171,'7. Lo Esencial de la Reforma U.'!$F:$G,2,0)))))))))))))))))</f>
        <v>#N/A</v>
      </c>
      <c r="D172" s="31"/>
      <c r="E172" s="93"/>
      <c r="F172" s="93"/>
      <c r="G172" s="93"/>
      <c r="H172" s="76"/>
      <c r="I172" s="76"/>
      <c r="J172" s="76"/>
      <c r="K172" s="112"/>
    </row>
    <row r="173" spans="3:12" ht="15.75" thickBot="1" x14ac:dyDescent="0.3">
      <c r="C173" s="70"/>
      <c r="D173" s="31"/>
      <c r="E173" s="93"/>
      <c r="F173" s="93"/>
      <c r="G173" s="93"/>
      <c r="H173" s="76"/>
      <c r="I173" s="76"/>
      <c r="J173" s="76"/>
      <c r="K173" s="112"/>
    </row>
    <row r="174" spans="3:12" ht="30.75" thickBot="1" x14ac:dyDescent="0.3">
      <c r="C174" s="126" t="s">
        <v>44</v>
      </c>
      <c r="D174" s="129" t="s">
        <v>45</v>
      </c>
      <c r="E174" s="128" t="s">
        <v>55</v>
      </c>
      <c r="F174" s="128" t="s">
        <v>57</v>
      </c>
      <c r="G174" s="127" t="s">
        <v>27</v>
      </c>
      <c r="H174" s="133" t="s">
        <v>130</v>
      </c>
      <c r="I174" s="128" t="s">
        <v>46</v>
      </c>
      <c r="J174" s="128" t="s">
        <v>131</v>
      </c>
      <c r="K174" s="128" t="s">
        <v>409</v>
      </c>
      <c r="L174" s="128" t="s">
        <v>410</v>
      </c>
    </row>
    <row r="175" spans="3:12" x14ac:dyDescent="0.25">
      <c r="C175" s="326" t="s">
        <v>47</v>
      </c>
      <c r="D175" s="718"/>
      <c r="E175" s="327"/>
      <c r="F175" s="115">
        <v>30000</v>
      </c>
      <c r="G175" s="328">
        <f t="shared" ref="G175:G183" si="20">E175*F175</f>
        <v>0</v>
      </c>
      <c r="H175" s="329"/>
      <c r="I175" s="116" t="s">
        <v>698</v>
      </c>
      <c r="J175" s="116" t="str">
        <f>VLOOKUP(I175,Presupuesto!$B$11:$C$566,2,0)</f>
        <v>SERVICIOS DE CAPACITACION.</v>
      </c>
      <c r="K175" s="330" t="s">
        <v>1506</v>
      </c>
      <c r="L175" s="116" t="s">
        <v>393</v>
      </c>
    </row>
    <row r="176" spans="3:12" x14ac:dyDescent="0.25">
      <c r="C176" s="99" t="s">
        <v>48</v>
      </c>
      <c r="D176" s="719"/>
      <c r="E176" s="200">
        <f>D175</f>
        <v>0</v>
      </c>
      <c r="F176" s="100">
        <v>50</v>
      </c>
      <c r="G176" s="97">
        <f t="shared" si="20"/>
        <v>0</v>
      </c>
      <c r="H176" s="161"/>
      <c r="I176" s="98" t="s">
        <v>716</v>
      </c>
      <c r="J176" s="98" t="str">
        <f>VLOOKUP(I176,Presupuesto!$B$11:$C$566,2,0)</f>
        <v>SERVICIOS DE IMPRENTA PUBLIC.Y REPRODUCCION</v>
      </c>
      <c r="K176" s="98" t="str">
        <f>$K$175</f>
        <v>Gestión Tecnologías de Información y Comunicación</v>
      </c>
      <c r="L176" s="98" t="s">
        <v>411</v>
      </c>
    </row>
    <row r="177" spans="3:12" x14ac:dyDescent="0.25">
      <c r="C177" s="99" t="s">
        <v>49</v>
      </c>
      <c r="D177" s="719"/>
      <c r="E177" s="200">
        <f>D175</f>
        <v>0</v>
      </c>
      <c r="F177" s="100">
        <v>150</v>
      </c>
      <c r="G177" s="97">
        <f t="shared" si="20"/>
        <v>0</v>
      </c>
      <c r="H177" s="161"/>
      <c r="I177" s="98" t="s">
        <v>791</v>
      </c>
      <c r="J177" s="98" t="str">
        <f>VLOOKUP(I177,Presupuesto!$B$11:$C$566,2,0)</f>
        <v>ALIMENTOS B EBIDAS PARA PERSONAS</v>
      </c>
      <c r="K177" s="98" t="str">
        <f t="shared" ref="K177:K184" si="21">$K$175</f>
        <v>Gestión Tecnologías de Información y Comunicación</v>
      </c>
      <c r="L177" s="98" t="s">
        <v>395</v>
      </c>
    </row>
    <row r="178" spans="3:12" x14ac:dyDescent="0.25">
      <c r="C178" s="99" t="s">
        <v>50</v>
      </c>
      <c r="D178" s="719"/>
      <c r="E178" s="151">
        <v>0</v>
      </c>
      <c r="F178" s="118">
        <v>10000</v>
      </c>
      <c r="G178" s="97">
        <f t="shared" si="20"/>
        <v>0</v>
      </c>
      <c r="H178" s="161"/>
      <c r="I178" s="321" t="s">
        <v>299</v>
      </c>
      <c r="J178" s="98" t="str">
        <f>VLOOKUP(I178,Presupuesto!$B$11:$C$566,2,0)</f>
        <v>PASAJES (26100-00)</v>
      </c>
      <c r="K178" s="98" t="str">
        <f t="shared" si="21"/>
        <v>Gestión Tecnologías de Información y Comunicación</v>
      </c>
      <c r="L178" s="98" t="s">
        <v>411</v>
      </c>
    </row>
    <row r="179" spans="3:12" x14ac:dyDescent="0.25">
      <c r="C179" s="99" t="s">
        <v>416</v>
      </c>
      <c r="D179" s="719"/>
      <c r="E179" s="151">
        <v>0</v>
      </c>
      <c r="F179" s="118">
        <v>250</v>
      </c>
      <c r="G179" s="97">
        <f t="shared" si="20"/>
        <v>0</v>
      </c>
      <c r="H179" s="161"/>
      <c r="I179" s="98" t="s">
        <v>820</v>
      </c>
      <c r="J179" s="98" t="str">
        <f>VLOOKUP(I179,Presupuesto!$B$11:$C$566,2,0)</f>
        <v>PRODUCTOS PAPEL Y CARTON</v>
      </c>
      <c r="K179" s="98" t="str">
        <f t="shared" si="21"/>
        <v>Gestión Tecnologías de Información y Comunicación</v>
      </c>
      <c r="L179" s="98" t="s">
        <v>411</v>
      </c>
    </row>
    <row r="180" spans="3:12" x14ac:dyDescent="0.25">
      <c r="C180" s="99" t="s">
        <v>51</v>
      </c>
      <c r="D180" s="719"/>
      <c r="E180" s="200">
        <f>(D175*25)/500</f>
        <v>0</v>
      </c>
      <c r="F180" s="100">
        <v>85</v>
      </c>
      <c r="G180" s="97">
        <f t="shared" si="20"/>
        <v>0</v>
      </c>
      <c r="H180" s="161"/>
      <c r="I180" s="98" t="s">
        <v>820</v>
      </c>
      <c r="J180" s="98" t="str">
        <f>VLOOKUP(I180,Presupuesto!$B$11:$C$566,2,0)</f>
        <v>PRODUCTOS PAPEL Y CARTON</v>
      </c>
      <c r="K180" s="98" t="str">
        <f t="shared" si="21"/>
        <v>Gestión Tecnologías de Información y Comunicación</v>
      </c>
      <c r="L180" s="98" t="s">
        <v>411</v>
      </c>
    </row>
    <row r="181" spans="3:12" x14ac:dyDescent="0.25">
      <c r="C181" s="99" t="s">
        <v>122</v>
      </c>
      <c r="D181" s="719"/>
      <c r="E181" s="200">
        <f>D175/12</f>
        <v>0</v>
      </c>
      <c r="F181" s="100">
        <v>36</v>
      </c>
      <c r="G181" s="97">
        <f t="shared" si="20"/>
        <v>0</v>
      </c>
      <c r="H181" s="161"/>
      <c r="I181" s="98" t="s">
        <v>941</v>
      </c>
      <c r="J181" s="98" t="str">
        <f>VLOOKUP(I181,Presupuesto!$B$11:$C$566,2,0)</f>
        <v>UTILES DE ESCRITORIO, OFICINA Y ENSE¥ANZA</v>
      </c>
      <c r="K181" s="98" t="str">
        <f t="shared" si="21"/>
        <v>Gestión Tecnologías de Información y Comunicación</v>
      </c>
      <c r="L181" s="98" t="s">
        <v>411</v>
      </c>
    </row>
    <row r="182" spans="3:12" x14ac:dyDescent="0.25">
      <c r="C182" s="99" t="s">
        <v>34</v>
      </c>
      <c r="D182" s="719"/>
      <c r="E182" s="200">
        <f>D175/12</f>
        <v>0</v>
      </c>
      <c r="F182" s="100">
        <v>80</v>
      </c>
      <c r="G182" s="97">
        <f t="shared" si="20"/>
        <v>0</v>
      </c>
      <c r="H182" s="161"/>
      <c r="I182" s="98" t="s">
        <v>941</v>
      </c>
      <c r="J182" s="98" t="str">
        <f>VLOOKUP(I182,Presupuesto!$B$11:$C$566,2,0)</f>
        <v>UTILES DE ESCRITORIO, OFICINA Y ENSE¥ANZA</v>
      </c>
      <c r="K182" s="98" t="str">
        <f t="shared" si="21"/>
        <v>Gestión Tecnologías de Información y Comunicación</v>
      </c>
      <c r="L182" s="98" t="s">
        <v>411</v>
      </c>
    </row>
    <row r="183" spans="3:12" x14ac:dyDescent="0.25">
      <c r="C183" s="109" t="s">
        <v>52</v>
      </c>
      <c r="D183" s="719"/>
      <c r="E183" s="212">
        <v>0</v>
      </c>
      <c r="F183" s="119">
        <v>25</v>
      </c>
      <c r="G183" s="97">
        <f t="shared" si="20"/>
        <v>0</v>
      </c>
      <c r="H183" s="161"/>
      <c r="I183" s="98" t="s">
        <v>941</v>
      </c>
      <c r="J183" s="98" t="str">
        <f>VLOOKUP(I183,Presupuesto!$B$11:$C$566,2,0)</f>
        <v>UTILES DE ESCRITORIO, OFICINA Y ENSE¥ANZA</v>
      </c>
      <c r="K183" s="98" t="str">
        <f t="shared" si="21"/>
        <v>Gestión Tecnologías de Información y Comunicación</v>
      </c>
      <c r="L183" s="98" t="s">
        <v>411</v>
      </c>
    </row>
    <row r="184" spans="3:12" ht="15.75" thickBot="1" x14ac:dyDescent="0.3">
      <c r="C184" s="216" t="s">
        <v>429</v>
      </c>
      <c r="D184" s="217">
        <v>0</v>
      </c>
      <c r="E184" s="331">
        <v>0</v>
      </c>
      <c r="F184" s="104">
        <f>HLOOKUP(C184,$AH$2:$BU$3,2,0)</f>
        <v>1150</v>
      </c>
      <c r="G184" s="105">
        <f>D184*E184*F184</f>
        <v>0</v>
      </c>
      <c r="H184" s="332"/>
      <c r="I184" s="333" t="s">
        <v>300</v>
      </c>
      <c r="J184" s="106" t="str">
        <f>VLOOKUP(I184,Presupuesto!$B$11:$C$566,2,0)</f>
        <v>VIATICOS (26200-00)</v>
      </c>
      <c r="K184" s="334" t="str">
        <f t="shared" si="21"/>
        <v>Gestión Tecnologías de Información y Comunicación</v>
      </c>
      <c r="L184" s="334" t="s">
        <v>411</v>
      </c>
    </row>
    <row r="185" spans="3:12" x14ac:dyDescent="0.25">
      <c r="C185" s="93"/>
      <c r="E185" s="112"/>
      <c r="F185" s="112"/>
      <c r="G185" s="112"/>
      <c r="H185" s="174"/>
      <c r="I185" s="112"/>
      <c r="J185" s="112"/>
      <c r="K185" s="112"/>
    </row>
    <row r="186" spans="3:12" ht="15.75" thickBot="1" x14ac:dyDescent="0.3"/>
    <row r="187" spans="3:12" ht="15.75" thickBot="1" x14ac:dyDescent="0.3">
      <c r="C187" s="29" t="s">
        <v>43</v>
      </c>
      <c r="D187" s="30">
        <f>SUM(G194:G203)</f>
        <v>0</v>
      </c>
      <c r="E187" s="93"/>
      <c r="F187" s="93"/>
      <c r="G187" s="93"/>
      <c r="H187" s="76"/>
      <c r="I187" s="76"/>
      <c r="J187" s="76"/>
      <c r="K187" s="112"/>
    </row>
    <row r="188" spans="3:12" x14ac:dyDescent="0.25">
      <c r="C188" s="70"/>
      <c r="D188" s="31"/>
      <c r="E188" s="93"/>
      <c r="F188" s="93"/>
      <c r="G188" s="93"/>
      <c r="H188" s="76"/>
      <c r="I188" s="76"/>
      <c r="J188" s="76"/>
      <c r="K188" s="112"/>
    </row>
    <row r="189" spans="3:12" x14ac:dyDescent="0.25">
      <c r="C189" s="70"/>
      <c r="D189" s="31"/>
      <c r="E189" s="93"/>
      <c r="F189" s="93"/>
      <c r="G189" s="93"/>
      <c r="H189" s="76"/>
      <c r="I189" s="76"/>
      <c r="J189" s="76"/>
      <c r="K189" s="112"/>
    </row>
    <row r="190" spans="3:12" ht="15.75" x14ac:dyDescent="0.25">
      <c r="C190" s="202" t="s">
        <v>391</v>
      </c>
      <c r="D190" s="368"/>
      <c r="E190" s="93"/>
      <c r="F190" s="93"/>
      <c r="G190" s="93"/>
      <c r="H190" s="76"/>
      <c r="I190" s="76"/>
      <c r="J190" s="76"/>
      <c r="K190" s="112"/>
    </row>
    <row r="191" spans="3:12" ht="18.75" x14ac:dyDescent="0.25">
      <c r="C191" s="210" t="e">
        <f>IFERROR(VLOOKUP(D190,'1. Desarrollo e Innov. Curricu.'!$F:$G,2,FALSE),IFERROR(VLOOKUP(D190,'2. Investigación Científica'!$F:$G,2,FALSE),IFERROR(VLOOKUP(D190,'3. Vinculación Univ. Sociedad'!$F:$G,2,FALSE),IFERROR(VLOOKUP(D190,'4. Docencia y Profesorado Univ.'!$F:$G,2,FALSE),IFERROR(VLOOKUP(D190,'5. Estudiantes y Graduados'!$F:$G,2,FALSE),IFERROR(VLOOKUP(D190,'11. Gestion Administrativa'!$F:$G,2,FALSE),IFERROR(VLOOKUP(D190,'13. Gestión Académica'!$F:$G,2,FALSE),IFERROR(VLOOKUP(D190,'9. Asegura. de la Calid. y M'!$F:$G,2,FALSE),IFERROR(VLOOKUP(D190,'6. Gestión del Conocimiento'!$F:$G,2,FALSE),IFERROR(VLOOKUP(D190,'15. Gobernabilidad y Proceso...'!$F:$G,2,FALSE),IFERROR(VLOOKUP(D190,'12. Gestión del Talento Humano'!$F:$G,2,FALSE),IFERROR(VLOOKUP(D190,'14. Internacional... de la E.S.'!$F:$G,2,FALSE),IFERROR(VLOOKUP(D190,'10. Posgrado'!$F:$G,2,FALSE),IFERROR(VLOOKUP(D190,'17. Gestión TIC'!$F:$G,2,FALSE),IFERROR(VLOOKUP(D190,'16. Desa. del Sistema Educ.Sup.'!$F:$G,2,FALSE),IFERROR(VLOOKUP(D190,'8. Cultura de Inno. Insti...'!$F:$G,2,FALSE),VLOOKUP(D190,'7. Lo Esencial de la Reforma U.'!$F:$G,2,0)))))))))))))))))</f>
        <v>#N/A</v>
      </c>
      <c r="D191" s="31"/>
      <c r="E191" s="93"/>
      <c r="F191" s="93"/>
      <c r="G191" s="93"/>
      <c r="H191" s="76"/>
      <c r="I191" s="76"/>
      <c r="J191" s="76"/>
      <c r="K191" s="112"/>
    </row>
    <row r="192" spans="3:12" ht="15.75" thickBot="1" x14ac:dyDescent="0.3">
      <c r="C192" s="70"/>
      <c r="D192" s="31"/>
      <c r="E192" s="93"/>
      <c r="F192" s="93"/>
      <c r="G192" s="93"/>
      <c r="H192" s="76"/>
      <c r="I192" s="76"/>
      <c r="J192" s="76"/>
      <c r="K192" s="112"/>
    </row>
    <row r="193" spans="3:12" ht="30.75" thickBot="1" x14ac:dyDescent="0.3">
      <c r="C193" s="126" t="s">
        <v>44</v>
      </c>
      <c r="D193" s="129" t="s">
        <v>45</v>
      </c>
      <c r="E193" s="128" t="s">
        <v>55</v>
      </c>
      <c r="F193" s="128" t="s">
        <v>57</v>
      </c>
      <c r="G193" s="127" t="s">
        <v>27</v>
      </c>
      <c r="H193" s="133" t="s">
        <v>130</v>
      </c>
      <c r="I193" s="128" t="s">
        <v>46</v>
      </c>
      <c r="J193" s="128" t="s">
        <v>131</v>
      </c>
      <c r="K193" s="128" t="s">
        <v>409</v>
      </c>
      <c r="L193" s="128" t="s">
        <v>410</v>
      </c>
    </row>
    <row r="194" spans="3:12" x14ac:dyDescent="0.25">
      <c r="C194" s="326" t="s">
        <v>47</v>
      </c>
      <c r="D194" s="718"/>
      <c r="E194" s="327"/>
      <c r="F194" s="115">
        <v>30000</v>
      </c>
      <c r="G194" s="328">
        <f t="shared" ref="G194:G202" si="22">E194*F194</f>
        <v>0</v>
      </c>
      <c r="H194" s="329"/>
      <c r="I194" s="116" t="s">
        <v>698</v>
      </c>
      <c r="J194" s="116" t="str">
        <f>VLOOKUP(I194,Presupuesto!$B$11:$C$566,2,0)</f>
        <v>SERVICIOS DE CAPACITACION.</v>
      </c>
      <c r="K194" s="330" t="s">
        <v>1506</v>
      </c>
      <c r="L194" s="116" t="s">
        <v>393</v>
      </c>
    </row>
    <row r="195" spans="3:12" x14ac:dyDescent="0.25">
      <c r="C195" s="99" t="s">
        <v>48</v>
      </c>
      <c r="D195" s="719"/>
      <c r="E195" s="200">
        <f>D194</f>
        <v>0</v>
      </c>
      <c r="F195" s="100">
        <v>50</v>
      </c>
      <c r="G195" s="97">
        <f t="shared" si="22"/>
        <v>0</v>
      </c>
      <c r="H195" s="161"/>
      <c r="I195" s="98" t="s">
        <v>716</v>
      </c>
      <c r="J195" s="98" t="str">
        <f>VLOOKUP(I195,Presupuesto!$B$11:$C$566,2,0)</f>
        <v>SERVICIOS DE IMPRENTA PUBLIC.Y REPRODUCCION</v>
      </c>
      <c r="K195" s="98" t="str">
        <f>$K$194</f>
        <v>Gestión Tecnologías de Información y Comunicación</v>
      </c>
      <c r="L195" s="98" t="s">
        <v>411</v>
      </c>
    </row>
    <row r="196" spans="3:12" x14ac:dyDescent="0.25">
      <c r="C196" s="99" t="s">
        <v>49</v>
      </c>
      <c r="D196" s="719"/>
      <c r="E196" s="200">
        <f>D194</f>
        <v>0</v>
      </c>
      <c r="F196" s="100">
        <v>150</v>
      </c>
      <c r="G196" s="97">
        <f t="shared" si="22"/>
        <v>0</v>
      </c>
      <c r="H196" s="161"/>
      <c r="I196" s="98" t="s">
        <v>791</v>
      </c>
      <c r="J196" s="98" t="str">
        <f>VLOOKUP(I196,Presupuesto!$B$11:$C$566,2,0)</f>
        <v>ALIMENTOS B EBIDAS PARA PERSONAS</v>
      </c>
      <c r="K196" s="98" t="str">
        <f t="shared" ref="K196:K203" si="23">$K$194</f>
        <v>Gestión Tecnologías de Información y Comunicación</v>
      </c>
      <c r="L196" s="98" t="s">
        <v>395</v>
      </c>
    </row>
    <row r="197" spans="3:12" x14ac:dyDescent="0.25">
      <c r="C197" s="99" t="s">
        <v>50</v>
      </c>
      <c r="D197" s="719"/>
      <c r="E197" s="151">
        <v>0</v>
      </c>
      <c r="F197" s="118">
        <v>10000</v>
      </c>
      <c r="G197" s="97">
        <f t="shared" si="22"/>
        <v>0</v>
      </c>
      <c r="H197" s="161"/>
      <c r="I197" s="321" t="s">
        <v>299</v>
      </c>
      <c r="J197" s="98" t="str">
        <f>VLOOKUP(I197,Presupuesto!$B$11:$C$566,2,0)</f>
        <v>PASAJES (26100-00)</v>
      </c>
      <c r="K197" s="98" t="str">
        <f t="shared" si="23"/>
        <v>Gestión Tecnologías de Información y Comunicación</v>
      </c>
      <c r="L197" s="98" t="s">
        <v>411</v>
      </c>
    </row>
    <row r="198" spans="3:12" x14ac:dyDescent="0.25">
      <c r="C198" s="99" t="s">
        <v>416</v>
      </c>
      <c r="D198" s="719"/>
      <c r="E198" s="151">
        <v>0</v>
      </c>
      <c r="F198" s="118">
        <v>250</v>
      </c>
      <c r="G198" s="97">
        <f t="shared" si="22"/>
        <v>0</v>
      </c>
      <c r="H198" s="161"/>
      <c r="I198" s="98" t="s">
        <v>820</v>
      </c>
      <c r="J198" s="98" t="str">
        <f>VLOOKUP(I198,Presupuesto!$B$11:$C$566,2,0)</f>
        <v>PRODUCTOS PAPEL Y CARTON</v>
      </c>
      <c r="K198" s="98" t="str">
        <f t="shared" si="23"/>
        <v>Gestión Tecnologías de Información y Comunicación</v>
      </c>
      <c r="L198" s="98" t="s">
        <v>411</v>
      </c>
    </row>
    <row r="199" spans="3:12" x14ac:dyDescent="0.25">
      <c r="C199" s="99" t="s">
        <v>51</v>
      </c>
      <c r="D199" s="719"/>
      <c r="E199" s="200">
        <f>(D194*25)/500</f>
        <v>0</v>
      </c>
      <c r="F199" s="100">
        <v>85</v>
      </c>
      <c r="G199" s="97">
        <f t="shared" si="22"/>
        <v>0</v>
      </c>
      <c r="H199" s="161"/>
      <c r="I199" s="98" t="s">
        <v>820</v>
      </c>
      <c r="J199" s="98" t="str">
        <f>VLOOKUP(I199,Presupuesto!$B$11:$C$566,2,0)</f>
        <v>PRODUCTOS PAPEL Y CARTON</v>
      </c>
      <c r="K199" s="98" t="str">
        <f t="shared" si="23"/>
        <v>Gestión Tecnologías de Información y Comunicación</v>
      </c>
      <c r="L199" s="98" t="s">
        <v>411</v>
      </c>
    </row>
    <row r="200" spans="3:12" x14ac:dyDescent="0.25">
      <c r="C200" s="99" t="s">
        <v>122</v>
      </c>
      <c r="D200" s="719"/>
      <c r="E200" s="200">
        <f>D194/12</f>
        <v>0</v>
      </c>
      <c r="F200" s="100">
        <v>36</v>
      </c>
      <c r="G200" s="97">
        <f t="shared" si="22"/>
        <v>0</v>
      </c>
      <c r="H200" s="161"/>
      <c r="I200" s="98" t="s">
        <v>941</v>
      </c>
      <c r="J200" s="98" t="str">
        <f>VLOOKUP(I200,Presupuesto!$B$11:$C$566,2,0)</f>
        <v>UTILES DE ESCRITORIO, OFICINA Y ENSE¥ANZA</v>
      </c>
      <c r="K200" s="98" t="str">
        <f t="shared" si="23"/>
        <v>Gestión Tecnologías de Información y Comunicación</v>
      </c>
      <c r="L200" s="98" t="s">
        <v>411</v>
      </c>
    </row>
    <row r="201" spans="3:12" x14ac:dyDescent="0.25">
      <c r="C201" s="99" t="s">
        <v>34</v>
      </c>
      <c r="D201" s="719"/>
      <c r="E201" s="200">
        <f>D194/12</f>
        <v>0</v>
      </c>
      <c r="F201" s="100">
        <v>80</v>
      </c>
      <c r="G201" s="97">
        <f t="shared" si="22"/>
        <v>0</v>
      </c>
      <c r="H201" s="161"/>
      <c r="I201" s="98" t="s">
        <v>941</v>
      </c>
      <c r="J201" s="98" t="str">
        <f>VLOOKUP(I201,Presupuesto!$B$11:$C$566,2,0)</f>
        <v>UTILES DE ESCRITORIO, OFICINA Y ENSE¥ANZA</v>
      </c>
      <c r="K201" s="98" t="str">
        <f t="shared" si="23"/>
        <v>Gestión Tecnologías de Información y Comunicación</v>
      </c>
      <c r="L201" s="98" t="s">
        <v>411</v>
      </c>
    </row>
    <row r="202" spans="3:12" x14ac:dyDescent="0.25">
      <c r="C202" s="109" t="s">
        <v>52</v>
      </c>
      <c r="D202" s="719"/>
      <c r="E202" s="212">
        <v>0</v>
      </c>
      <c r="F202" s="119">
        <v>25</v>
      </c>
      <c r="G202" s="97">
        <f t="shared" si="22"/>
        <v>0</v>
      </c>
      <c r="H202" s="161"/>
      <c r="I202" s="98" t="s">
        <v>941</v>
      </c>
      <c r="J202" s="98" t="str">
        <f>VLOOKUP(I202,Presupuesto!$B$11:$C$566,2,0)</f>
        <v>UTILES DE ESCRITORIO, OFICINA Y ENSE¥ANZA</v>
      </c>
      <c r="K202" s="98" t="str">
        <f t="shared" si="23"/>
        <v>Gestión Tecnologías de Información y Comunicación</v>
      </c>
      <c r="L202" s="98" t="s">
        <v>411</v>
      </c>
    </row>
    <row r="203" spans="3:12" ht="15.75" thickBot="1" x14ac:dyDescent="0.3">
      <c r="C203" s="216" t="s">
        <v>429</v>
      </c>
      <c r="D203" s="217">
        <v>0</v>
      </c>
      <c r="E203" s="331">
        <v>0</v>
      </c>
      <c r="F203" s="104">
        <f>HLOOKUP(C203,$AH$2:$BU$3,2,0)</f>
        <v>1150</v>
      </c>
      <c r="G203" s="105">
        <f>D203*E203*F203</f>
        <v>0</v>
      </c>
      <c r="H203" s="332"/>
      <c r="I203" s="333" t="s">
        <v>300</v>
      </c>
      <c r="J203" s="106" t="str">
        <f>VLOOKUP(I203,Presupuesto!$B$11:$C$566,2,0)</f>
        <v>VIATICOS (26200-00)</v>
      </c>
      <c r="K203" s="334" t="str">
        <f t="shared" si="23"/>
        <v>Gestión Tecnologías de Información y Comunicación</v>
      </c>
      <c r="L203" s="334" t="s">
        <v>411</v>
      </c>
    </row>
  </sheetData>
  <protectedRanges>
    <protectedRange password="DE9D" sqref="K30 K43 K69 K82 I72 K105 K118 K137 K156 K175 K194 D16:F20 K16:L20 H16:I20 I45 K56 I58" name="bloqueo"/>
  </protectedRanges>
  <mergeCells count="12">
    <mergeCell ref="D175:D183"/>
    <mergeCell ref="D194:D202"/>
    <mergeCell ref="D105:D107"/>
    <mergeCell ref="D118:D126"/>
    <mergeCell ref="D137:D145"/>
    <mergeCell ref="D156:D164"/>
    <mergeCell ref="D17:D19"/>
    <mergeCell ref="D30:D32"/>
    <mergeCell ref="D43:D44"/>
    <mergeCell ref="D69:D71"/>
    <mergeCell ref="D82:D84"/>
    <mergeCell ref="D56:D57"/>
  </mergeCells>
  <dataValidations count="7">
    <dataValidation type="list" allowBlank="1" showInputMessage="1" showErrorMessage="1" sqref="C20 C33 C45 C72 C85 C58 C108 C127 C146 C165 C184 C203 C95">
      <formula1>$AH$2:$BU$2</formula1>
    </dataValidation>
    <dataValidation type="list" allowBlank="1" showInputMessage="1" showErrorMessage="1" errorTitle="¡Ingreso Inválido!" error="Seleccione una opción de la lista" promptTitle="Mes Requerido" prompt="Seleccione el mes en el que requiere el recurso." sqref="L118:L127 L137:L146 L156:L165 L175:L184 L194:L203 L17:L20 L30:L33 L43:L45 L56:L58 L69:L72 L82:L85 L105:L108 L95">
      <formula1>$U$2:$AF$2</formula1>
    </dataValidation>
    <dataValidation type="list" allowBlank="1" showInputMessage="1" showErrorMessage="1" errorTitle="¡Ingreso no valido!" error="Favor ingrese un elemento de la lista." promptTitle="Tipo de Presupuesto" prompt="Seleccione una opción de la lista." sqref="H118:H127 H137:H146 H156:H165 H175:H184 H194:H203 H17:H20 H30:H33 H43:H45 H56:H58 H69:H72 H82:H85 H105:H108 H95">
      <formula1>$S$2:$T$2</formula1>
    </dataValidation>
    <dataValidation type="list" allowBlank="1" showInputMessage="1" showErrorMessage="1" errorTitle="¡Ingreso Inválido!" error="Verifique el valor ingresado._x000a_" sqref="I118:I127 I137:I146 I156:I165 I175:I184 I194:I203 I17:I18 I20 I30:I33 I43:I45 I56:I58 I69:I72 I82:I85 I105:I108 I95">
      <formula1>$A$1:$UI$1</formula1>
    </dataValidation>
    <dataValidation type="list" allowBlank="1" showInputMessage="1" showErrorMessage="1" sqref="K119:K127 K138:K146 K157:K165 K176:K184 K195:K203 K18:K20 K31:K33 K44:K45 K57:K58 K70:K72 K83:K85 K106:K108 K95">
      <formula1>$A$2:$P$2</formula1>
    </dataValidation>
    <dataValidation type="list" allowBlank="1" showInputMessage="1" showErrorMessage="1" errorTitle="¡Ingreso Inválido!" error="Seleccione una opción de la lista." promptTitle="Dimensión Estratégica" prompt="Seleccione una opción de la lista." sqref="K17 K30 K43 K69 K82 K105 K118 K137 K156 K175 K194 K56">
      <formula1>$A$2:$Q$2</formula1>
    </dataValidation>
    <dataValidation type="list" allowBlank="1" showInputMessage="1" showErrorMessage="1" errorTitle="¡Ingreso Inválido!" error="Verifique el valor ingresado." promptTitle="Ingrese el Objeto de Gasto" prompt="Ingrese el Objeto de Gasto" sqref="I19">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17"/>
  <sheetViews>
    <sheetView showGridLines="0" topLeftCell="A4" zoomScale="84" zoomScaleNormal="84" workbookViewId="0">
      <selection activeCell="G4" sqref="G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60" t="s">
        <v>1357</v>
      </c>
      <c r="E2" s="122" t="s">
        <v>1359</v>
      </c>
      <c r="F2" s="122" t="s">
        <v>471</v>
      </c>
      <c r="G2" s="122" t="s">
        <v>1360</v>
      </c>
      <c r="H2" s="160" t="s">
        <v>1361</v>
      </c>
      <c r="I2" s="122" t="s">
        <v>1362</v>
      </c>
      <c r="J2" s="122" t="s">
        <v>1449</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2.5" x14ac:dyDescent="0.25">
      <c r="C5" s="195" t="s">
        <v>127</v>
      </c>
      <c r="D5" s="462">
        <f>SUMIF(C:C,$C$10,D:D)</f>
        <v>3504346.0649999999</v>
      </c>
      <c r="CA5" s="302"/>
    </row>
    <row r="6" spans="1:555" x14ac:dyDescent="0.25">
      <c r="CA6" s="302"/>
    </row>
    <row r="7" spans="1:555" x14ac:dyDescent="0.25">
      <c r="CA7" s="302"/>
    </row>
    <row r="8" spans="1:555" x14ac:dyDescent="0.25">
      <c r="C8" s="70" t="s">
        <v>54</v>
      </c>
      <c r="D8" s="79"/>
      <c r="E8" s="70"/>
      <c r="F8" s="70"/>
      <c r="G8" s="70"/>
      <c r="H8" s="79"/>
      <c r="I8" s="70"/>
      <c r="J8" s="70"/>
      <c r="CA8" s="302"/>
    </row>
    <row r="9" spans="1:555" ht="15.75" thickBot="1" x14ac:dyDescent="0.3">
      <c r="C9" s="94"/>
      <c r="D9" s="79"/>
      <c r="E9" s="94"/>
      <c r="F9" s="94"/>
      <c r="G9" s="94"/>
      <c r="H9" s="79"/>
      <c r="I9" s="94"/>
      <c r="J9" s="121"/>
      <c r="CA9" s="302"/>
    </row>
    <row r="10" spans="1:555" ht="15.75" thickBot="1" x14ac:dyDescent="0.3">
      <c r="C10" s="69" t="s">
        <v>43</v>
      </c>
      <c r="D10" s="564">
        <f>SUM(G17:G19)</f>
        <v>650365.19999999995</v>
      </c>
      <c r="E10" s="93"/>
      <c r="F10" s="93"/>
      <c r="G10" s="93"/>
      <c r="H10" s="76"/>
      <c r="I10" s="76"/>
      <c r="J10" s="76"/>
      <c r="K10" s="153"/>
      <c r="CA10" s="302"/>
    </row>
    <row r="11" spans="1:555" x14ac:dyDescent="0.25">
      <c r="B11" s="177"/>
      <c r="D11" s="31"/>
      <c r="E11" s="93"/>
      <c r="F11" s="93"/>
      <c r="G11" s="93"/>
      <c r="H11" s="76"/>
      <c r="I11" s="76"/>
      <c r="J11" s="76"/>
      <c r="K11" s="153"/>
      <c r="CA11" s="302"/>
    </row>
    <row r="12" spans="1:555" x14ac:dyDescent="0.25">
      <c r="B12" s="177"/>
      <c r="D12" s="31"/>
      <c r="E12" s="93"/>
      <c r="F12" s="93"/>
      <c r="G12" s="93"/>
      <c r="H12" s="76"/>
      <c r="I12" s="76"/>
      <c r="J12" s="76"/>
      <c r="K12" s="153"/>
      <c r="CA12" s="302"/>
    </row>
    <row r="13" spans="1:555" ht="15.75" x14ac:dyDescent="0.25">
      <c r="C13" s="202" t="s">
        <v>391</v>
      </c>
      <c r="D13" s="368" t="s">
        <v>1740</v>
      </c>
      <c r="E13" s="93"/>
      <c r="F13" s="93"/>
      <c r="G13" s="93"/>
      <c r="H13" s="76"/>
      <c r="I13" s="76"/>
      <c r="J13" s="76"/>
      <c r="K13" s="153"/>
      <c r="CA13" s="302"/>
    </row>
    <row r="14" spans="1:555" ht="18.75" x14ac:dyDescent="0.25">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Contratación de profesores por hora en las de Filosofia y Lenguas Extranjeras </v>
      </c>
      <c r="D14" s="31"/>
      <c r="E14" s="93"/>
      <c r="F14" s="93"/>
      <c r="G14" s="93"/>
      <c r="H14" s="76"/>
      <c r="I14" s="76"/>
      <c r="J14" s="76"/>
      <c r="K14" s="153"/>
      <c r="CA14" s="302"/>
    </row>
    <row r="15" spans="1:555" ht="15.75" thickBot="1" x14ac:dyDescent="0.3">
      <c r="C15" s="94"/>
      <c r="D15" s="31"/>
      <c r="E15" s="93"/>
      <c r="F15" s="93"/>
      <c r="G15" s="93"/>
      <c r="H15" s="76"/>
      <c r="I15" s="76"/>
      <c r="J15" s="76"/>
      <c r="K15" s="153"/>
      <c r="CA15" s="302"/>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2"/>
    </row>
    <row r="17" spans="3:12" ht="15.75" thickBot="1" x14ac:dyDescent="0.3">
      <c r="C17" s="137" t="s">
        <v>494</v>
      </c>
      <c r="D17" s="199">
        <v>24</v>
      </c>
      <c r="E17" s="152">
        <v>12</v>
      </c>
      <c r="F17" s="303">
        <f>HLOOKUP($C17,$BZ$2:$CM$3,2,0)</f>
        <v>2007.3</v>
      </c>
      <c r="G17" s="534">
        <f>D17*E17*F17</f>
        <v>578102.4</v>
      </c>
      <c r="H17" s="166" t="s">
        <v>1691</v>
      </c>
      <c r="I17" s="114" t="s">
        <v>495</v>
      </c>
      <c r="J17" s="114" t="str">
        <f>VLOOKUP(I17,Presupuesto!$B$11:$C$565,2,0)</f>
        <v>SUELDOS Y SALARIOS PERMANENTES</v>
      </c>
      <c r="K17" s="98" t="s">
        <v>1363</v>
      </c>
      <c r="L17" s="98" t="s">
        <v>394</v>
      </c>
    </row>
    <row r="18" spans="3:12" x14ac:dyDescent="0.25">
      <c r="C18" s="171" t="s">
        <v>58</v>
      </c>
      <c r="D18" s="163"/>
      <c r="E18" s="154">
        <v>0</v>
      </c>
      <c r="F18" s="100">
        <f>IF(E17=0,"",(G17/E17)/12*E17)</f>
        <v>48175.200000000004</v>
      </c>
      <c r="G18" s="97">
        <f>F18</f>
        <v>48175.200000000004</v>
      </c>
      <c r="H18" s="164" t="s">
        <v>1691</v>
      </c>
      <c r="I18" s="116" t="s">
        <v>515</v>
      </c>
      <c r="J18" s="116" t="str">
        <f>VLOOKUP(I18,Presupuesto!$B$11:$C$565,2,0)</f>
        <v>AGUINALDO Y DECIMO CUARTO MES</v>
      </c>
      <c r="K18" s="98" t="s">
        <v>1363</v>
      </c>
      <c r="L18" s="98" t="s">
        <v>394</v>
      </c>
    </row>
    <row r="19" spans="3:12" x14ac:dyDescent="0.25">
      <c r="C19" s="536" t="s">
        <v>59</v>
      </c>
      <c r="D19" s="535"/>
      <c r="E19" s="154">
        <v>0</v>
      </c>
      <c r="F19" s="117">
        <f>IF(E17&lt;6,"",((E17-6)/12)*(G17/E17))</f>
        <v>24087.600000000002</v>
      </c>
      <c r="G19" s="97">
        <f>F19</f>
        <v>24087.600000000002</v>
      </c>
      <c r="H19" s="164" t="s">
        <v>1691</v>
      </c>
      <c r="I19" s="101" t="s">
        <v>518</v>
      </c>
      <c r="J19" s="101" t="str">
        <f>VLOOKUP(I19,Presupuesto!$B$11:$C$565,2,0)</f>
        <v>DECIMOCUARTO MES</v>
      </c>
      <c r="K19" s="98" t="s">
        <v>1363</v>
      </c>
      <c r="L19" s="98" t="s">
        <v>394</v>
      </c>
    </row>
    <row r="20" spans="3:12" s="465" customFormat="1" x14ac:dyDescent="0.25">
      <c r="C20" s="560"/>
      <c r="D20" s="561"/>
      <c r="E20" s="562"/>
      <c r="F20" s="562"/>
      <c r="G20" s="562"/>
      <c r="H20" s="561"/>
      <c r="I20" s="563"/>
      <c r="J20" s="563"/>
      <c r="K20" s="563"/>
      <c r="L20" s="563"/>
    </row>
    <row r="21" spans="3:12" s="465" customFormat="1" ht="15.75" thickBot="1" x14ac:dyDescent="0.3">
      <c r="C21" s="560"/>
      <c r="D21" s="561"/>
      <c r="E21" s="562"/>
      <c r="F21" s="562"/>
      <c r="G21" s="562"/>
      <c r="H21" s="561"/>
      <c r="I21" s="563"/>
      <c r="J21" s="563"/>
      <c r="K21" s="563"/>
      <c r="L21" s="563"/>
    </row>
    <row r="22" spans="3:12" s="465" customFormat="1" ht="15.75" thickBot="1" x14ac:dyDescent="0.3">
      <c r="C22" s="69" t="s">
        <v>43</v>
      </c>
      <c r="D22" s="565">
        <f>SUM(G29:G31)</f>
        <v>650365.19999999995</v>
      </c>
      <c r="E22" s="93"/>
      <c r="F22" s="93"/>
      <c r="G22" s="93"/>
      <c r="H22" s="76"/>
      <c r="I22" s="76"/>
      <c r="J22" s="76"/>
      <c r="K22" s="153"/>
    </row>
    <row r="23" spans="3:12" s="465" customFormat="1" x14ac:dyDescent="0.25">
      <c r="D23" s="31"/>
      <c r="E23" s="93"/>
      <c r="F23" s="93"/>
      <c r="G23" s="93"/>
      <c r="H23" s="76"/>
      <c r="I23" s="76"/>
      <c r="J23" s="76"/>
      <c r="K23" s="153"/>
    </row>
    <row r="24" spans="3:12" s="465" customFormat="1" x14ac:dyDescent="0.25">
      <c r="D24" s="31"/>
      <c r="E24" s="93"/>
      <c r="F24" s="93"/>
      <c r="G24" s="93"/>
      <c r="H24" s="76"/>
      <c r="I24" s="76"/>
      <c r="J24" s="76"/>
      <c r="K24" s="153"/>
    </row>
    <row r="25" spans="3:12" s="465" customFormat="1" ht="15.75" x14ac:dyDescent="0.25">
      <c r="C25" s="202" t="s">
        <v>391</v>
      </c>
      <c r="D25" s="368" t="s">
        <v>1876</v>
      </c>
      <c r="E25" s="93"/>
      <c r="F25" s="93"/>
      <c r="G25" s="93"/>
      <c r="H25" s="76"/>
      <c r="I25" s="76"/>
      <c r="J25" s="76"/>
      <c r="K25" s="153"/>
    </row>
    <row r="26" spans="3:12" s="465" customFormat="1" ht="18.75" x14ac:dyDescent="0.25">
      <c r="C26" s="210" t="str">
        <f>IFERROR(VLOOKUP(D25,'1. Desarrollo e Innov. Curricu.'!$F:$G,2,FALSE),IFERROR(VLOOKUP(D25,'2. Investigación Científica'!$F:$G,2,FALSE),IFERROR(VLOOKUP(D25,'3. Vinculación Univ. Sociedad'!$F:$G,2,FALSE),IFERROR(VLOOKUP(D25,'4. Docencia y Profesorado Univ.'!$F:$G,2,FALSE),IFERROR(VLOOKUP(D25,'5. Estudiantes y Graduados'!$F:$G,2,FALSE),IFERROR(VLOOKUP(D25,'11. Gestion Administrativa'!$F:$G,2,FALSE),IFERROR(VLOOKUP(D25,'13. Gestión Académica'!$F:$G,2,FALSE),IFERROR(VLOOKUP(D25,'9. Asegura. de la Calid. y M'!$F:$G,2,FALSE),IFERROR(VLOOKUP(D25,'6. Gestión del Conocimiento'!$F:$G,2,FALSE),IFERROR(VLOOKUP(D25,'15. Gobernabilidad y Proceso...'!$F:$G,2,FALSE),IFERROR(VLOOKUP(D25,'12. Gestión del Talento Humano'!$F:$G,2,FALSE),IFERROR(VLOOKUP(D25,'14. Internacional... de la E.S.'!$F:$G,2,FALSE),IFERROR(VLOOKUP(D25,'10. Posgrado'!$F:$G,2,FALSE),IFERROR(VLOOKUP(D25,'17. Gestión TIC'!$F:$G,2,FALSE),IFERROR(VLOOKUP(D25,'16. Desa. del Sistema Educ.Sup.'!$F:$G,2,FALSE),IFERROR(VLOOKUP(D25,'8. Cultura de Inno. Insti...'!$F:$G,2,FALSE),VLOOKUP(D25,'7. Lo Esencial de la Reforma U.'!$F:$G,2,0)))))))))))))))))</f>
        <v>Gestionar la Contratación de Profesor por hora en el área de Matemática (1) y biología (1)</v>
      </c>
      <c r="D26" s="31"/>
      <c r="E26" s="93"/>
      <c r="F26" s="93"/>
      <c r="G26" s="93"/>
      <c r="H26" s="76"/>
      <c r="I26" s="76"/>
      <c r="J26" s="76"/>
      <c r="K26" s="153"/>
    </row>
    <row r="27" spans="3:12" s="465" customFormat="1" ht="15.75" thickBot="1" x14ac:dyDescent="0.3">
      <c r="C27" s="177"/>
      <c r="D27" s="31"/>
      <c r="E27" s="93"/>
      <c r="F27" s="93"/>
      <c r="G27" s="93"/>
      <c r="H27" s="76"/>
      <c r="I27" s="76"/>
      <c r="J27" s="76"/>
      <c r="K27" s="153"/>
    </row>
    <row r="28" spans="3:12" s="465" customFormat="1" ht="30.75" thickBot="1" x14ac:dyDescent="0.3">
      <c r="C28" s="134" t="s">
        <v>44</v>
      </c>
      <c r="D28" s="138" t="s">
        <v>55</v>
      </c>
      <c r="E28" s="170" t="s">
        <v>56</v>
      </c>
      <c r="F28" s="138" t="s">
        <v>57</v>
      </c>
      <c r="G28" s="135" t="s">
        <v>27</v>
      </c>
      <c r="H28" s="133" t="s">
        <v>130</v>
      </c>
      <c r="I28" s="136" t="s">
        <v>46</v>
      </c>
      <c r="J28" s="136" t="s">
        <v>131</v>
      </c>
      <c r="K28" s="136" t="s">
        <v>409</v>
      </c>
      <c r="L28" s="136" t="s">
        <v>410</v>
      </c>
    </row>
    <row r="29" spans="3:12" s="465" customFormat="1" ht="15.75" thickBot="1" x14ac:dyDescent="0.3">
      <c r="C29" s="137" t="s">
        <v>494</v>
      </c>
      <c r="D29" s="199">
        <v>24</v>
      </c>
      <c r="E29" s="152">
        <v>12</v>
      </c>
      <c r="F29" s="303">
        <f>HLOOKUP($C29,$BZ$2:$CM$3,2,0)</f>
        <v>2007.3</v>
      </c>
      <c r="G29" s="534">
        <f>D29*E29*F29</f>
        <v>578102.4</v>
      </c>
      <c r="H29" s="166" t="s">
        <v>1691</v>
      </c>
      <c r="I29" s="114" t="s">
        <v>495</v>
      </c>
      <c r="J29" s="114" t="str">
        <f>VLOOKUP(I29,Presupuesto!$B$11:$C$565,2,0)</f>
        <v>SUELDOS Y SALARIOS PERMANENTES</v>
      </c>
      <c r="K29" s="98" t="s">
        <v>1363</v>
      </c>
      <c r="L29" s="98" t="s">
        <v>394</v>
      </c>
    </row>
    <row r="30" spans="3:12" s="465" customFormat="1" x14ac:dyDescent="0.25">
      <c r="C30" s="171" t="s">
        <v>58</v>
      </c>
      <c r="D30" s="163"/>
      <c r="E30" s="154">
        <v>0</v>
      </c>
      <c r="F30" s="100">
        <f>IF(E29=0,"",(G29/E29)/12*E29)</f>
        <v>48175.200000000004</v>
      </c>
      <c r="G30" s="97">
        <f>F30</f>
        <v>48175.200000000004</v>
      </c>
      <c r="H30" s="164" t="s">
        <v>1691</v>
      </c>
      <c r="I30" s="116" t="s">
        <v>515</v>
      </c>
      <c r="J30" s="116" t="str">
        <f>VLOOKUP(I30,Presupuesto!$B$11:$C$565,2,0)</f>
        <v>AGUINALDO Y DECIMO CUARTO MES</v>
      </c>
      <c r="K30" s="98" t="s">
        <v>1363</v>
      </c>
      <c r="L30" s="98" t="s">
        <v>394</v>
      </c>
    </row>
    <row r="31" spans="3:12" s="465" customFormat="1" x14ac:dyDescent="0.25">
      <c r="C31" s="536" t="s">
        <v>59</v>
      </c>
      <c r="D31" s="535"/>
      <c r="E31" s="154">
        <v>0</v>
      </c>
      <c r="F31" s="117">
        <f>IF(E29&lt;6,"",((E29-6)/12)*(G29/E29))</f>
        <v>24087.600000000002</v>
      </c>
      <c r="G31" s="97">
        <f>F31</f>
        <v>24087.600000000002</v>
      </c>
      <c r="H31" s="164" t="s">
        <v>1691</v>
      </c>
      <c r="I31" s="101" t="s">
        <v>518</v>
      </c>
      <c r="J31" s="101" t="str">
        <f>VLOOKUP(I31,Presupuesto!$B$11:$C$565,2,0)</f>
        <v>DECIMOCUARTO MES</v>
      </c>
      <c r="K31" s="98" t="s">
        <v>1363</v>
      </c>
      <c r="L31" s="98" t="s">
        <v>394</v>
      </c>
    </row>
    <row r="32" spans="3:12" s="465" customFormat="1" x14ac:dyDescent="0.25">
      <c r="C32" s="560"/>
      <c r="D32" s="561"/>
      <c r="E32" s="562"/>
      <c r="F32" s="562"/>
      <c r="G32" s="562"/>
      <c r="H32" s="561"/>
      <c r="I32" s="563"/>
      <c r="J32" s="563"/>
      <c r="K32" s="563"/>
      <c r="L32" s="563"/>
    </row>
    <row r="33" spans="3:12" s="465" customFormat="1" ht="15.75" thickBot="1" x14ac:dyDescent="0.3">
      <c r="C33" s="560"/>
      <c r="D33" s="561"/>
      <c r="E33" s="562"/>
      <c r="F33" s="562"/>
      <c r="G33" s="562"/>
      <c r="H33" s="561"/>
      <c r="I33" s="563"/>
      <c r="J33" s="563"/>
      <c r="K33" s="563"/>
      <c r="L33" s="563"/>
    </row>
    <row r="34" spans="3:12" s="465" customFormat="1" ht="15.75" thickBot="1" x14ac:dyDescent="0.3">
      <c r="C34" s="69" t="s">
        <v>43</v>
      </c>
      <c r="D34" s="565">
        <f>SUM(G41:G43)</f>
        <v>650365.19999999995</v>
      </c>
      <c r="E34" s="93"/>
      <c r="F34" s="93"/>
      <c r="G34" s="93"/>
      <c r="H34" s="76"/>
      <c r="I34" s="76"/>
      <c r="J34" s="76"/>
      <c r="K34" s="153"/>
    </row>
    <row r="35" spans="3:12" s="465" customFormat="1" x14ac:dyDescent="0.25">
      <c r="D35" s="31"/>
      <c r="E35" s="93"/>
      <c r="F35" s="93"/>
      <c r="G35" s="93"/>
      <c r="H35" s="76"/>
      <c r="I35" s="76"/>
      <c r="J35" s="76"/>
      <c r="K35" s="153"/>
    </row>
    <row r="36" spans="3:12" s="465" customFormat="1" x14ac:dyDescent="0.25">
      <c r="D36" s="31"/>
      <c r="E36" s="93"/>
      <c r="F36" s="93"/>
      <c r="G36" s="93"/>
      <c r="H36" s="76"/>
      <c r="I36" s="76"/>
      <c r="J36" s="76"/>
      <c r="K36" s="153"/>
    </row>
    <row r="37" spans="3:12" s="465" customFormat="1" ht="15.75" x14ac:dyDescent="0.25">
      <c r="C37" s="202" t="s">
        <v>391</v>
      </c>
      <c r="D37" s="368" t="s">
        <v>1968</v>
      </c>
      <c r="E37" s="93"/>
      <c r="F37" s="93"/>
      <c r="G37" s="93"/>
      <c r="H37" s="76"/>
      <c r="I37" s="76"/>
      <c r="J37" s="76"/>
      <c r="K37" s="153"/>
    </row>
    <row r="38" spans="3:12" s="465" customFormat="1" ht="18.75" x14ac:dyDescent="0.25">
      <c r="C38" s="210" t="str">
        <f>IFERROR(VLOOKUP(D37,'1. Desarrollo e Innov. Curricu.'!$F:$G,2,FALSE),IFERROR(VLOOKUP(D37,'2. Investigación Científica'!$F:$G,2,FALSE),IFERROR(VLOOKUP(D37,'3. Vinculación Univ. Sociedad'!$F:$G,2,FALSE),IFERROR(VLOOKUP(D37,'4. Docencia y Profesorado Univ.'!$F:$G,2,FALSE),IFERROR(VLOOKUP(D37,'5. Estudiantes y Graduados'!$F:$G,2,FALSE),IFERROR(VLOOKUP(D37,'11. Gestion Administrativa'!$F:$G,2,FALSE),IFERROR(VLOOKUP(D37,'13. Gestión Académica'!$F:$G,2,FALSE),IFERROR(VLOOKUP(D37,'9. Asegura. de la Calid. y M'!$F:$G,2,FALSE),IFERROR(VLOOKUP(D37,'6. Gestión del Conocimiento'!$F:$G,2,FALSE),IFERROR(VLOOKUP(D37,'15. Gobernabilidad y Proceso...'!$F:$G,2,FALSE),IFERROR(VLOOKUP(D37,'12. Gestión del Talento Humano'!$F:$G,2,FALSE),IFERROR(VLOOKUP(D37,'14. Internacional... de la E.S.'!$F:$G,2,FALSE),IFERROR(VLOOKUP(D37,'10. Posgrado'!$F:$G,2,FALSE),IFERROR(VLOOKUP(D37,'17. Gestión TIC'!$F:$G,2,FALSE),IFERROR(VLOOKUP(D37,'16. Desa. del Sistema Educ.Sup.'!$F:$G,2,FALSE),IFERROR(VLOOKUP(D37,'8. Cultura de Inno. Insti...'!$F:$G,2,FALSE),VLOOKUP(D37,'7. Lo Esencial de la Reforma U.'!$F:$G,2,0)))))))))))))))))</f>
        <v>Fortalecer el departamento de ciencias economicas con la contratación 2 profesores por hora.</v>
      </c>
      <c r="D38" s="31"/>
      <c r="E38" s="93"/>
      <c r="F38" s="93"/>
      <c r="G38" s="93"/>
      <c r="H38" s="76"/>
      <c r="I38" s="76"/>
      <c r="J38" s="76"/>
      <c r="K38" s="153"/>
    </row>
    <row r="39" spans="3:12" s="465" customFormat="1" ht="15.75" thickBot="1" x14ac:dyDescent="0.3">
      <c r="C39" s="177"/>
      <c r="D39" s="31"/>
      <c r="E39" s="93"/>
      <c r="F39" s="93"/>
      <c r="G39" s="93"/>
      <c r="H39" s="76"/>
      <c r="I39" s="76"/>
      <c r="J39" s="76"/>
      <c r="K39" s="153"/>
    </row>
    <row r="40" spans="3:12" s="465" customFormat="1" ht="30.75" thickBot="1" x14ac:dyDescent="0.3">
      <c r="C40" s="134" t="s">
        <v>44</v>
      </c>
      <c r="D40" s="138" t="s">
        <v>55</v>
      </c>
      <c r="E40" s="170" t="s">
        <v>56</v>
      </c>
      <c r="F40" s="138" t="s">
        <v>57</v>
      </c>
      <c r="G40" s="135" t="s">
        <v>27</v>
      </c>
      <c r="H40" s="133" t="s">
        <v>130</v>
      </c>
      <c r="I40" s="136" t="s">
        <v>46</v>
      </c>
      <c r="J40" s="136" t="s">
        <v>131</v>
      </c>
      <c r="K40" s="136" t="s">
        <v>409</v>
      </c>
      <c r="L40" s="136" t="s">
        <v>410</v>
      </c>
    </row>
    <row r="41" spans="3:12" s="465" customFormat="1" ht="15.75" thickBot="1" x14ac:dyDescent="0.3">
      <c r="C41" s="137" t="s">
        <v>494</v>
      </c>
      <c r="D41" s="199">
        <v>24</v>
      </c>
      <c r="E41" s="152">
        <v>12</v>
      </c>
      <c r="F41" s="303">
        <f>HLOOKUP($C41,$BZ$2:$CM$3,2,0)</f>
        <v>2007.3</v>
      </c>
      <c r="G41" s="534">
        <f>D41*E41*F41</f>
        <v>578102.4</v>
      </c>
      <c r="H41" s="166" t="s">
        <v>1691</v>
      </c>
      <c r="I41" s="114" t="s">
        <v>495</v>
      </c>
      <c r="J41" s="114" t="str">
        <f>VLOOKUP(I41,Presupuesto!$B$11:$C$565,2,0)</f>
        <v>SUELDOS Y SALARIOS PERMANENTES</v>
      </c>
      <c r="K41" s="98" t="s">
        <v>1363</v>
      </c>
      <c r="L41" s="98" t="s">
        <v>394</v>
      </c>
    </row>
    <row r="42" spans="3:12" s="465" customFormat="1" x14ac:dyDescent="0.25">
      <c r="C42" s="171" t="s">
        <v>58</v>
      </c>
      <c r="D42" s="163"/>
      <c r="E42" s="154">
        <v>0</v>
      </c>
      <c r="F42" s="100">
        <f>IF(E41=0,"",(G41/E41)/12*E41)</f>
        <v>48175.200000000004</v>
      </c>
      <c r="G42" s="97">
        <f>F42</f>
        <v>48175.200000000004</v>
      </c>
      <c r="H42" s="164" t="s">
        <v>1691</v>
      </c>
      <c r="I42" s="116" t="s">
        <v>515</v>
      </c>
      <c r="J42" s="116" t="str">
        <f>VLOOKUP(I42,Presupuesto!$B$11:$C$565,2,0)</f>
        <v>AGUINALDO Y DECIMO CUARTO MES</v>
      </c>
      <c r="K42" s="98" t="s">
        <v>1363</v>
      </c>
      <c r="L42" s="98" t="s">
        <v>394</v>
      </c>
    </row>
    <row r="43" spans="3:12" s="465" customFormat="1" x14ac:dyDescent="0.25">
      <c r="C43" s="536" t="s">
        <v>59</v>
      </c>
      <c r="D43" s="535"/>
      <c r="E43" s="154">
        <v>0</v>
      </c>
      <c r="F43" s="117">
        <f>IF(E41&lt;6,"",((E41-6)/12)*(G41/E41))</f>
        <v>24087.600000000002</v>
      </c>
      <c r="G43" s="97">
        <f>F43</f>
        <v>24087.600000000002</v>
      </c>
      <c r="H43" s="164" t="s">
        <v>1691</v>
      </c>
      <c r="I43" s="101" t="s">
        <v>518</v>
      </c>
      <c r="J43" s="101" t="str">
        <f>VLOOKUP(I43,Presupuesto!$B$11:$C$565,2,0)</f>
        <v>DECIMOCUARTO MES</v>
      </c>
      <c r="K43" s="98" t="s">
        <v>1363</v>
      </c>
      <c r="L43" s="98" t="s">
        <v>394</v>
      </c>
    </row>
    <row r="44" spans="3:12" s="465" customFormat="1" x14ac:dyDescent="0.25">
      <c r="C44" s="560"/>
      <c r="D44" s="561"/>
      <c r="E44" s="562"/>
      <c r="F44" s="562"/>
      <c r="G44" s="562"/>
      <c r="H44" s="561"/>
      <c r="I44" s="563"/>
      <c r="J44" s="563"/>
      <c r="K44" s="563"/>
      <c r="L44" s="563"/>
    </row>
    <row r="45" spans="3:12" s="465" customFormat="1" ht="15.75" thickBot="1" x14ac:dyDescent="0.3">
      <c r="C45" s="560"/>
      <c r="D45" s="561"/>
      <c r="E45" s="562"/>
      <c r="F45" s="562"/>
      <c r="G45" s="562"/>
      <c r="H45" s="561"/>
      <c r="I45" s="563"/>
      <c r="J45" s="563"/>
      <c r="K45" s="563"/>
      <c r="L45" s="563"/>
    </row>
    <row r="46" spans="3:12" s="465" customFormat="1" ht="15.75" thickBot="1" x14ac:dyDescent="0.3">
      <c r="C46" s="69" t="s">
        <v>43</v>
      </c>
      <c r="D46" s="565">
        <f>SUM(G53:G55)</f>
        <v>650365.19999999995</v>
      </c>
      <c r="E46" s="93"/>
      <c r="F46" s="93"/>
      <c r="G46" s="93"/>
      <c r="H46" s="76"/>
      <c r="I46" s="76"/>
      <c r="J46" s="76"/>
      <c r="K46" s="153"/>
    </row>
    <row r="47" spans="3:12" s="465" customFormat="1" x14ac:dyDescent="0.25">
      <c r="D47" s="31"/>
      <c r="E47" s="93"/>
      <c r="F47" s="93"/>
      <c r="G47" s="93"/>
      <c r="H47" s="76"/>
      <c r="I47" s="76"/>
      <c r="J47" s="76"/>
      <c r="K47" s="153"/>
    </row>
    <row r="48" spans="3:12" s="465" customFormat="1" x14ac:dyDescent="0.25">
      <c r="D48" s="31"/>
      <c r="E48" s="93"/>
      <c r="F48" s="93"/>
      <c r="G48" s="93"/>
      <c r="H48" s="76"/>
      <c r="I48" s="76"/>
      <c r="J48" s="76"/>
      <c r="K48" s="153"/>
    </row>
    <row r="49" spans="3:12" s="465" customFormat="1" ht="15.75" x14ac:dyDescent="0.25">
      <c r="C49" s="202" t="s">
        <v>391</v>
      </c>
      <c r="D49" s="368" t="s">
        <v>2138</v>
      </c>
      <c r="E49" s="93"/>
      <c r="F49" s="93"/>
      <c r="G49" s="93"/>
      <c r="H49" s="76"/>
      <c r="I49" s="76"/>
      <c r="J49" s="76"/>
      <c r="K49" s="153"/>
    </row>
    <row r="50" spans="3:12" s="465" customFormat="1" ht="18.75" x14ac:dyDescent="0.25">
      <c r="C50" s="210" t="str">
        <f>IFERROR(VLOOKUP(D49,'1. Desarrollo e Innov. Curricu.'!$F:$G,2,FALSE),IFERROR(VLOOKUP(D49,'2. Investigación Científica'!$F:$G,2,FALSE),IFERROR(VLOOKUP(D49,'3. Vinculación Univ. Sociedad'!$F:$G,2,FALSE),IFERROR(VLOOKUP(D49,'4. Docencia y Profesorado Univ.'!$F:$G,2,FALSE),IFERROR(VLOOKUP(D49,'5. Estudiantes y Graduados'!$F:$G,2,FALSE),IFERROR(VLOOKUP(D49,'11. Gestion Administrativa'!$F:$G,2,FALSE),IFERROR(VLOOKUP(D49,'13. Gestión Académica'!$F:$G,2,FALSE),IFERROR(VLOOKUP(D49,'9. Asegura. de la Calid. y M'!$F:$G,2,FALSE),IFERROR(VLOOKUP(D49,'6. Gestión del Conocimiento'!$F:$G,2,FALSE),IFERROR(VLOOKUP(D49,'15. Gobernabilidad y Proceso...'!$F:$G,2,FALSE),IFERROR(VLOOKUP(D49,'12. Gestión del Talento Humano'!$F:$G,2,FALSE),IFERROR(VLOOKUP(D49,'14. Internacional... de la E.S.'!$F:$G,2,FALSE),IFERROR(VLOOKUP(D49,'10. Posgrado'!$F:$G,2,FALSE),IFERROR(VLOOKUP(D49,'17. Gestión TIC'!$F:$G,2,FALSE),IFERROR(VLOOKUP(D49,'16. Desa. del Sistema Educ.Sup.'!$F:$G,2,FALSE),IFERROR(VLOOKUP(D49,'8. Cultura de Inno. Insti...'!$F:$G,2,FALSE),VLOOKUP(D49,'7. Lo Esencial de la Reforma U.'!$F:$G,2,0)))))))))))))))))</f>
        <v xml:space="preserve">Gestionar contratación 2 profesores por hora para cubrir la demanda estudiantil de la Carrera de Enfermeria </v>
      </c>
      <c r="D50" s="31"/>
      <c r="E50" s="93"/>
      <c r="F50" s="93"/>
      <c r="G50" s="93"/>
      <c r="H50" s="76"/>
      <c r="I50" s="76"/>
      <c r="J50" s="76"/>
      <c r="K50" s="153"/>
    </row>
    <row r="51" spans="3:12" s="465" customFormat="1" ht="15.75" thickBot="1" x14ac:dyDescent="0.3">
      <c r="C51" s="177"/>
      <c r="D51" s="31"/>
      <c r="E51" s="93"/>
      <c r="F51" s="93"/>
      <c r="G51" s="93"/>
      <c r="H51" s="76"/>
      <c r="I51" s="76"/>
      <c r="J51" s="76"/>
      <c r="K51" s="153"/>
    </row>
    <row r="52" spans="3:12" s="465" customFormat="1" ht="30.75" thickBot="1" x14ac:dyDescent="0.3">
      <c r="C52" s="134" t="s">
        <v>44</v>
      </c>
      <c r="D52" s="138" t="s">
        <v>55</v>
      </c>
      <c r="E52" s="170" t="s">
        <v>56</v>
      </c>
      <c r="F52" s="138" t="s">
        <v>57</v>
      </c>
      <c r="G52" s="135" t="s">
        <v>27</v>
      </c>
      <c r="H52" s="133" t="s">
        <v>130</v>
      </c>
      <c r="I52" s="136" t="s">
        <v>46</v>
      </c>
      <c r="J52" s="136" t="s">
        <v>131</v>
      </c>
      <c r="K52" s="136" t="s">
        <v>409</v>
      </c>
      <c r="L52" s="136" t="s">
        <v>410</v>
      </c>
    </row>
    <row r="53" spans="3:12" s="465" customFormat="1" ht="15.75" thickBot="1" x14ac:dyDescent="0.3">
      <c r="C53" s="137" t="s">
        <v>494</v>
      </c>
      <c r="D53" s="199">
        <v>24</v>
      </c>
      <c r="E53" s="152">
        <v>12</v>
      </c>
      <c r="F53" s="303">
        <f>HLOOKUP($C53,$BZ$2:$CM$3,2,0)</f>
        <v>2007.3</v>
      </c>
      <c r="G53" s="534">
        <f>D53*E53*F53</f>
        <v>578102.4</v>
      </c>
      <c r="H53" s="166" t="s">
        <v>1691</v>
      </c>
      <c r="I53" s="114" t="s">
        <v>495</v>
      </c>
      <c r="J53" s="114" t="str">
        <f>VLOOKUP(I53,Presupuesto!$B$11:$C$565,2,0)</f>
        <v>SUELDOS Y SALARIOS PERMANENTES</v>
      </c>
      <c r="K53" s="98" t="s">
        <v>1363</v>
      </c>
      <c r="L53" s="98" t="s">
        <v>394</v>
      </c>
    </row>
    <row r="54" spans="3:12" s="465" customFormat="1" x14ac:dyDescent="0.25">
      <c r="C54" s="171" t="s">
        <v>58</v>
      </c>
      <c r="D54" s="163"/>
      <c r="E54" s="154">
        <v>0</v>
      </c>
      <c r="F54" s="100">
        <f>IF(E53=0,"",(G53/E53)/12*E53)</f>
        <v>48175.200000000004</v>
      </c>
      <c r="G54" s="97">
        <f>F54</f>
        <v>48175.200000000004</v>
      </c>
      <c r="H54" s="164" t="s">
        <v>1691</v>
      </c>
      <c r="I54" s="116" t="s">
        <v>515</v>
      </c>
      <c r="J54" s="116" t="str">
        <f>VLOOKUP(I54,Presupuesto!$B$11:$C$565,2,0)</f>
        <v>AGUINALDO Y DECIMO CUARTO MES</v>
      </c>
      <c r="K54" s="98" t="s">
        <v>1363</v>
      </c>
      <c r="L54" s="98" t="s">
        <v>394</v>
      </c>
    </row>
    <row r="55" spans="3:12" s="465" customFormat="1" x14ac:dyDescent="0.25">
      <c r="C55" s="536" t="s">
        <v>59</v>
      </c>
      <c r="D55" s="535"/>
      <c r="E55" s="154">
        <v>0</v>
      </c>
      <c r="F55" s="117">
        <f>IF(E53&lt;6,"",((E53-6)/12)*(G53/E53))</f>
        <v>24087.600000000002</v>
      </c>
      <c r="G55" s="97">
        <f>F55</f>
        <v>24087.600000000002</v>
      </c>
      <c r="H55" s="164" t="s">
        <v>1691</v>
      </c>
      <c r="I55" s="101" t="s">
        <v>518</v>
      </c>
      <c r="J55" s="101" t="str">
        <f>VLOOKUP(I55,Presupuesto!$B$11:$C$565,2,0)</f>
        <v>DECIMOCUARTO MES</v>
      </c>
      <c r="K55" s="98" t="s">
        <v>1363</v>
      </c>
      <c r="L55" s="98" t="s">
        <v>394</v>
      </c>
    </row>
    <row r="56" spans="3:12" s="465" customFormat="1" x14ac:dyDescent="0.25">
      <c r="C56" s="560"/>
      <c r="D56" s="561"/>
      <c r="E56" s="562"/>
      <c r="F56" s="562"/>
      <c r="G56" s="562"/>
      <c r="H56" s="561"/>
      <c r="I56" s="563"/>
      <c r="J56" s="563"/>
      <c r="K56" s="563"/>
      <c r="L56" s="563"/>
    </row>
    <row r="57" spans="3:12" s="465" customFormat="1" x14ac:dyDescent="0.25">
      <c r="C57" s="560"/>
      <c r="D57" s="561"/>
      <c r="E57" s="562"/>
      <c r="F57" s="562"/>
      <c r="G57" s="562"/>
      <c r="H57" s="561"/>
      <c r="I57" s="563"/>
      <c r="J57" s="563"/>
      <c r="K57" s="563"/>
      <c r="L57" s="563"/>
    </row>
    <row r="58" spans="3:12" ht="15.75" thickBot="1" x14ac:dyDescent="0.3">
      <c r="K58" s="153"/>
    </row>
    <row r="59" spans="3:12" ht="15.75" thickBot="1" x14ac:dyDescent="0.3">
      <c r="C59" s="69" t="s">
        <v>43</v>
      </c>
      <c r="D59" s="30">
        <f>SUM(G66:G77)</f>
        <v>902885.26500000001</v>
      </c>
      <c r="E59" s="93"/>
      <c r="F59" s="93"/>
      <c r="G59" s="93"/>
      <c r="H59" s="76"/>
      <c r="I59" s="76"/>
      <c r="J59" s="76"/>
      <c r="K59" s="153"/>
    </row>
    <row r="60" spans="3:12" x14ac:dyDescent="0.25">
      <c r="D60" s="31"/>
      <c r="E60" s="93"/>
      <c r="F60" s="93"/>
      <c r="G60" s="93"/>
      <c r="H60" s="76"/>
      <c r="I60" s="76"/>
      <c r="J60" s="76"/>
      <c r="K60" s="153"/>
    </row>
    <row r="61" spans="3:12" x14ac:dyDescent="0.25">
      <c r="D61" s="31"/>
      <c r="E61" s="93"/>
      <c r="F61" s="93"/>
      <c r="G61" s="93"/>
      <c r="H61" s="76"/>
      <c r="I61" s="76"/>
      <c r="J61" s="76"/>
      <c r="K61" s="153"/>
    </row>
    <row r="62" spans="3:12" ht="15.75" x14ac:dyDescent="0.25">
      <c r="C62" s="202" t="s">
        <v>391</v>
      </c>
      <c r="D62" s="368" t="s">
        <v>2339</v>
      </c>
      <c r="E62" s="93"/>
      <c r="F62" s="93"/>
      <c r="G62" s="93"/>
      <c r="H62" s="76"/>
      <c r="I62" s="76"/>
      <c r="J62" s="76"/>
      <c r="K62" s="153"/>
    </row>
    <row r="63" spans="3:12" ht="18.75" x14ac:dyDescent="0.25">
      <c r="C63" s="210" t="str">
        <f>IFERROR(VLOOKUP(D62,'1. Desarrollo e Innov. Curricu.'!$F:$G,2,FALSE),IFERROR(VLOOKUP(D62,'2. Investigación Científica'!$F:$G,2,FALSE),IFERROR(VLOOKUP(D62,'3. Vinculación Univ. Sociedad'!$F:$G,2,FALSE),IFERROR(VLOOKUP(D62,'4. Docencia y Profesorado Univ.'!$F:$G,2,FALSE),IFERROR(VLOOKUP(D62,'5. Estudiantes y Graduados'!$F:$G,2,FALSE),IFERROR(VLOOKUP(D62,'11. Gestion Administrativa'!$F:$G,2,FALSE),IFERROR(VLOOKUP(D62,'13. Gestión Académica'!$F:$G,2,FALSE),IFERROR(VLOOKUP(D62,'9. Asegura. de la Calid. y M'!$F:$G,2,FALSE),IFERROR(VLOOKUP(D62,'6. Gestión del Conocimiento'!$F:$G,2,FALSE),IFERROR(VLOOKUP(D62,'15. Gobernabilidad y Proceso...'!$F:$G,2,FALSE),IFERROR(VLOOKUP(D62,'12. Gestión del Talento Humano'!$F:$G,2,FALSE),IFERROR(VLOOKUP(D62,'14. Internacional... de la E.S.'!$F:$G,2,FALSE),IFERROR(VLOOKUP(D62,'10. Posgrado'!$F:$G,2,FALSE),IFERROR(VLOOKUP(D62,'17. Gestión TIC'!$F:$G,2,FALSE),IFERROR(VLOOKUP(D62,'16. Desa. del Sistema Educ.Sup.'!$F:$G,2,FALSE),IFERROR(VLOOKUP(D62,'8. Cultura de Inno. Insti...'!$F:$G,2,FALSE),VLOOKUP(D62,'7. Lo Esencial de la Reforma U.'!$F:$G,2,0)))))))))))))))))</f>
        <v>Gestionar la contratación de: un profesor a tiempo completo Ingeniero Agroindustrial con maestria en el campo de agroindustria o ciencia de los alimentos; un profesor por hora para clases especificas de carrera;  un encargado de laboratorio para las plantas de proceso de alimentos.</v>
      </c>
      <c r="D63" s="31"/>
      <c r="E63" s="93"/>
      <c r="F63" s="93"/>
      <c r="G63" s="93"/>
      <c r="H63" s="76"/>
      <c r="I63" s="76"/>
      <c r="J63" s="76"/>
      <c r="K63" s="153"/>
    </row>
    <row r="64" spans="3:12" ht="15.75" thickBot="1" x14ac:dyDescent="0.3">
      <c r="C64" s="177"/>
      <c r="D64" s="31"/>
      <c r="E64" s="93"/>
      <c r="F64" s="93"/>
      <c r="G64" s="93"/>
      <c r="H64" s="76"/>
      <c r="I64" s="76"/>
      <c r="J64" s="76"/>
      <c r="K64" s="153"/>
    </row>
    <row r="65" spans="3:12" ht="30.75" thickBot="1" x14ac:dyDescent="0.3">
      <c r="C65" s="134" t="s">
        <v>44</v>
      </c>
      <c r="D65" s="138" t="s">
        <v>55</v>
      </c>
      <c r="E65" s="170" t="s">
        <v>56</v>
      </c>
      <c r="F65" s="138" t="s">
        <v>57</v>
      </c>
      <c r="G65" s="135" t="s">
        <v>27</v>
      </c>
      <c r="H65" s="133" t="s">
        <v>130</v>
      </c>
      <c r="I65" s="136" t="s">
        <v>46</v>
      </c>
      <c r="J65" s="136" t="s">
        <v>131</v>
      </c>
      <c r="K65" s="136" t="s">
        <v>409</v>
      </c>
      <c r="L65" s="136" t="s">
        <v>410</v>
      </c>
    </row>
    <row r="66" spans="3:12" ht="15.75" thickBot="1" x14ac:dyDescent="0.3">
      <c r="C66" s="137" t="s">
        <v>486</v>
      </c>
      <c r="D66" s="199">
        <v>1</v>
      </c>
      <c r="E66" s="152">
        <v>12</v>
      </c>
      <c r="F66" s="303">
        <f>HLOOKUP($C66,$BZ$2:$CM$3,2,0)</f>
        <v>27792.79</v>
      </c>
      <c r="G66" s="113">
        <f>D66*E66*F66</f>
        <v>333513.48</v>
      </c>
      <c r="H66" s="166" t="s">
        <v>1691</v>
      </c>
      <c r="I66" s="114" t="s">
        <v>495</v>
      </c>
      <c r="J66" s="114" t="str">
        <f>VLOOKUP(I66,Presupuesto!$B$11:$C$565,2,0)</f>
        <v>SUELDOS Y SALARIOS PERMANENTES</v>
      </c>
      <c r="K66" s="98" t="s">
        <v>1363</v>
      </c>
      <c r="L66" s="98" t="s">
        <v>394</v>
      </c>
    </row>
    <row r="67" spans="3:12" x14ac:dyDescent="0.25">
      <c r="C67" s="171" t="s">
        <v>58</v>
      </c>
      <c r="D67" s="163"/>
      <c r="E67" s="154">
        <v>0</v>
      </c>
      <c r="F67" s="100">
        <f>IF(E66=0,"",(G66/E66)/12*E66)</f>
        <v>27792.789999999997</v>
      </c>
      <c r="G67" s="97">
        <f>F67</f>
        <v>27792.789999999997</v>
      </c>
      <c r="H67" s="164" t="s">
        <v>1691</v>
      </c>
      <c r="I67" s="116" t="s">
        <v>515</v>
      </c>
      <c r="J67" s="116" t="str">
        <f>VLOOKUP(I67,Presupuesto!$B$11:$C$565,2,0)</f>
        <v>AGUINALDO Y DECIMO CUARTO MES</v>
      </c>
      <c r="K67" s="98" t="s">
        <v>1363</v>
      </c>
      <c r="L67" s="98" t="s">
        <v>394</v>
      </c>
    </row>
    <row r="68" spans="3:12" ht="15.75" thickBot="1" x14ac:dyDescent="0.3">
      <c r="C68" s="172" t="s">
        <v>59</v>
      </c>
      <c r="D68" s="163"/>
      <c r="E68" s="154">
        <v>0</v>
      </c>
      <c r="F68" s="117">
        <f>IF(E66&lt;6,"",((E66-6)/12)*(G66/E66))</f>
        <v>13896.394999999999</v>
      </c>
      <c r="G68" s="97">
        <f>F68</f>
        <v>13896.394999999999</v>
      </c>
      <c r="H68" s="164" t="s">
        <v>1691</v>
      </c>
      <c r="I68" s="101" t="s">
        <v>518</v>
      </c>
      <c r="J68" s="101" t="str">
        <f>VLOOKUP(I68,Presupuesto!$B$11:$C$565,2,0)</f>
        <v>DECIMOCUARTO MES</v>
      </c>
      <c r="K68" s="98" t="s">
        <v>1363</v>
      </c>
      <c r="L68" s="98" t="s">
        <v>394</v>
      </c>
    </row>
    <row r="69" spans="3:12" ht="15.75" thickBot="1" x14ac:dyDescent="0.3">
      <c r="C69" s="137" t="s">
        <v>493</v>
      </c>
      <c r="D69" s="199"/>
      <c r="E69" s="152">
        <v>12</v>
      </c>
      <c r="F69" s="303">
        <f>HLOOKUP($C69,$BZ$2:$CM$3,2,0)</f>
        <v>463.22</v>
      </c>
      <c r="G69" s="113">
        <f>D69*E69*F69</f>
        <v>0</v>
      </c>
      <c r="H69" s="166" t="s">
        <v>1691</v>
      </c>
      <c r="I69" s="114" t="s">
        <v>495</v>
      </c>
      <c r="J69" s="114" t="str">
        <f>VLOOKUP(I69,Presupuesto!$B$11:$C$565,2,0)</f>
        <v>SUELDOS Y SALARIOS PERMANENTES</v>
      </c>
      <c r="K69" s="98" t="s">
        <v>1363</v>
      </c>
      <c r="L69" s="98" t="s">
        <v>394</v>
      </c>
    </row>
    <row r="70" spans="3:12" x14ac:dyDescent="0.25">
      <c r="C70" s="171" t="s">
        <v>58</v>
      </c>
      <c r="D70" s="163"/>
      <c r="E70" s="154">
        <v>0</v>
      </c>
      <c r="F70" s="100">
        <f>IF(E69=0,"",(G69/E69)/12*E69)</f>
        <v>0</v>
      </c>
      <c r="G70" s="97">
        <f>F70</f>
        <v>0</v>
      </c>
      <c r="H70" s="164" t="s">
        <v>1691</v>
      </c>
      <c r="I70" s="116" t="s">
        <v>515</v>
      </c>
      <c r="J70" s="116" t="str">
        <f>VLOOKUP(I70,Presupuesto!$B$11:$C$565,2,0)</f>
        <v>AGUINALDO Y DECIMO CUARTO MES</v>
      </c>
      <c r="K70" s="98" t="s">
        <v>1363</v>
      </c>
      <c r="L70" s="98" t="s">
        <v>394</v>
      </c>
    </row>
    <row r="71" spans="3:12" ht="15.75" thickBot="1" x14ac:dyDescent="0.3">
      <c r="C71" s="172" t="s">
        <v>59</v>
      </c>
      <c r="D71" s="163"/>
      <c r="E71" s="154">
        <v>0</v>
      </c>
      <c r="F71" s="117">
        <f>IF(E69&lt;6,"",((E69-6)/12)*(G69/E69))</f>
        <v>0</v>
      </c>
      <c r="G71" s="97">
        <f>F71</f>
        <v>0</v>
      </c>
      <c r="H71" s="164" t="s">
        <v>1691</v>
      </c>
      <c r="I71" s="101" t="s">
        <v>518</v>
      </c>
      <c r="J71" s="101" t="str">
        <f>VLOOKUP(I71,Presupuesto!$B$11:$C$565,2,0)</f>
        <v>DECIMOCUARTO MES</v>
      </c>
      <c r="K71" s="98" t="s">
        <v>1363</v>
      </c>
      <c r="L71" s="98" t="s">
        <v>394</v>
      </c>
    </row>
    <row r="72" spans="3:12" ht="15.75" thickBot="1" x14ac:dyDescent="0.3">
      <c r="C72" s="137" t="s">
        <v>494</v>
      </c>
      <c r="D72" s="199">
        <v>12</v>
      </c>
      <c r="E72" s="152">
        <v>12</v>
      </c>
      <c r="F72" s="303">
        <f>HLOOKUP($C72,$BZ$2:$CM$3,2,0)</f>
        <v>2007.3</v>
      </c>
      <c r="G72" s="113">
        <f>D72*E72*F72</f>
        <v>289051.2</v>
      </c>
      <c r="H72" s="166" t="s">
        <v>1691</v>
      </c>
      <c r="I72" s="114" t="s">
        <v>495</v>
      </c>
      <c r="J72" s="114" t="str">
        <f>VLOOKUP(I72,Presupuesto!$B$11:$C$565,2,0)</f>
        <v>SUELDOS Y SALARIOS PERMANENTES</v>
      </c>
      <c r="K72" s="98" t="s">
        <v>1363</v>
      </c>
      <c r="L72" s="98" t="s">
        <v>394</v>
      </c>
    </row>
    <row r="73" spans="3:12" x14ac:dyDescent="0.25">
      <c r="C73" s="171" t="s">
        <v>58</v>
      </c>
      <c r="D73" s="163"/>
      <c r="E73" s="154">
        <v>0</v>
      </c>
      <c r="F73" s="100">
        <f>IF(E72=0,"",(G72/E72)/12*E72)</f>
        <v>24087.600000000002</v>
      </c>
      <c r="G73" s="97">
        <f>F73</f>
        <v>24087.600000000002</v>
      </c>
      <c r="H73" s="164" t="s">
        <v>1691</v>
      </c>
      <c r="I73" s="116" t="s">
        <v>515</v>
      </c>
      <c r="J73" s="116" t="str">
        <f>VLOOKUP(I73,Presupuesto!$B$11:$C$565,2,0)</f>
        <v>AGUINALDO Y DECIMO CUARTO MES</v>
      </c>
      <c r="K73" s="98" t="s">
        <v>1363</v>
      </c>
      <c r="L73" s="98" t="s">
        <v>394</v>
      </c>
    </row>
    <row r="74" spans="3:12" ht="15.75" thickBot="1" x14ac:dyDescent="0.3">
      <c r="C74" s="172" t="s">
        <v>59</v>
      </c>
      <c r="D74" s="163"/>
      <c r="E74" s="154">
        <v>0</v>
      </c>
      <c r="F74" s="117">
        <f>IF(E72&lt;6,"",((E72-6)/12)*(G72/E72))</f>
        <v>12043.800000000001</v>
      </c>
      <c r="G74" s="97">
        <f>F74</f>
        <v>12043.800000000001</v>
      </c>
      <c r="H74" s="164" t="s">
        <v>1691</v>
      </c>
      <c r="I74" s="101" t="s">
        <v>518</v>
      </c>
      <c r="J74" s="101" t="str">
        <f>VLOOKUP(I74,Presupuesto!$B$11:$C$565,2,0)</f>
        <v>DECIMOCUARTO MES</v>
      </c>
      <c r="K74" s="98" t="s">
        <v>1363</v>
      </c>
      <c r="L74" s="98" t="s">
        <v>394</v>
      </c>
    </row>
    <row r="75" spans="3:12" ht="15.75" thickBot="1" x14ac:dyDescent="0.3">
      <c r="C75" s="140" t="s">
        <v>2340</v>
      </c>
      <c r="D75" s="199">
        <v>1</v>
      </c>
      <c r="E75" s="152">
        <v>12</v>
      </c>
      <c r="F75" s="118">
        <v>15000</v>
      </c>
      <c r="G75" s="113">
        <f>D75*E75*F75</f>
        <v>180000</v>
      </c>
      <c r="H75" s="166" t="s">
        <v>1691</v>
      </c>
      <c r="I75" s="114" t="s">
        <v>495</v>
      </c>
      <c r="J75" s="114" t="str">
        <f>VLOOKUP(I75,Presupuesto!$B$11:$C$565,2,0)</f>
        <v>SUELDOS Y SALARIOS PERMANENTES</v>
      </c>
      <c r="K75" s="98" t="s">
        <v>1363</v>
      </c>
      <c r="L75" s="98" t="s">
        <v>393</v>
      </c>
    </row>
    <row r="76" spans="3:12" x14ac:dyDescent="0.25">
      <c r="C76" s="171" t="s">
        <v>58</v>
      </c>
      <c r="D76" s="169"/>
      <c r="E76" s="131">
        <v>0</v>
      </c>
      <c r="F76" s="119">
        <f>IF(E75=0,"",(G75/E75)/12*E75)</f>
        <v>15000</v>
      </c>
      <c r="G76" s="120">
        <f>F76</f>
        <v>15000</v>
      </c>
      <c r="H76" s="164" t="s">
        <v>1691</v>
      </c>
      <c r="I76" s="101" t="s">
        <v>515</v>
      </c>
      <c r="J76" s="101" t="str">
        <f>VLOOKUP(I76,Presupuesto!$B$11:$C$565,2,0)</f>
        <v>AGUINALDO Y DECIMO CUARTO MES</v>
      </c>
      <c r="K76" s="98" t="s">
        <v>1363</v>
      </c>
      <c r="L76" s="98" t="s">
        <v>393</v>
      </c>
    </row>
    <row r="77" spans="3:12" ht="15.75" thickBot="1" x14ac:dyDescent="0.3">
      <c r="C77" s="173" t="s">
        <v>59</v>
      </c>
      <c r="D77" s="162"/>
      <c r="E77" s="132">
        <v>0</v>
      </c>
      <c r="F77" s="105">
        <f>IF(E75&lt;6,"",((E75-6)/12)*(G75/E75))</f>
        <v>7500</v>
      </c>
      <c r="G77" s="105">
        <f>F77</f>
        <v>7500</v>
      </c>
      <c r="H77" s="164" t="s">
        <v>1691</v>
      </c>
      <c r="I77" s="106" t="s">
        <v>518</v>
      </c>
      <c r="J77" s="110" t="str">
        <f>VLOOKUP(I77,Presupuesto!$B$11:$C$565,2,0)</f>
        <v>DECIMOCUARTO MES</v>
      </c>
      <c r="K77" s="647" t="s">
        <v>1363</v>
      </c>
      <c r="L77" s="110" t="s">
        <v>393</v>
      </c>
    </row>
    <row r="78" spans="3:12" x14ac:dyDescent="0.25">
      <c r="J78" s="648"/>
      <c r="K78" s="649"/>
      <c r="L78" s="648"/>
    </row>
    <row r="79" spans="3:12" ht="15.75" thickBot="1" x14ac:dyDescent="0.3">
      <c r="J79" s="153"/>
      <c r="K79" s="563"/>
      <c r="L79" s="153"/>
    </row>
    <row r="80" spans="3:12" ht="15.75" thickBot="1" x14ac:dyDescent="0.3">
      <c r="C80" s="69" t="s">
        <v>43</v>
      </c>
      <c r="D80" s="30">
        <f>SUM(G87:G137)</f>
        <v>0</v>
      </c>
      <c r="E80" s="93"/>
      <c r="F80" s="93"/>
      <c r="G80" s="93"/>
      <c r="H80" s="76"/>
      <c r="I80" s="76"/>
      <c r="J80" s="76"/>
      <c r="K80" s="153"/>
    </row>
    <row r="81" spans="3:12" x14ac:dyDescent="0.25">
      <c r="D81" s="31"/>
      <c r="E81" s="93"/>
      <c r="F81" s="93"/>
      <c r="G81" s="93"/>
      <c r="H81" s="76"/>
      <c r="I81" s="76"/>
      <c r="J81" s="76"/>
      <c r="K81" s="153"/>
    </row>
    <row r="82" spans="3:12" x14ac:dyDescent="0.25">
      <c r="D82" s="31"/>
      <c r="E82" s="93"/>
      <c r="F82" s="93"/>
      <c r="G82" s="93"/>
      <c r="H82" s="76"/>
      <c r="I82" s="76"/>
      <c r="J82" s="76"/>
      <c r="K82" s="153"/>
    </row>
    <row r="83" spans="3:12" ht="15.75" x14ac:dyDescent="0.25">
      <c r="C83" s="202" t="s">
        <v>391</v>
      </c>
      <c r="D83" s="368"/>
      <c r="E83" s="93"/>
      <c r="F83" s="93"/>
      <c r="G83" s="93"/>
      <c r="H83" s="76"/>
      <c r="I83" s="76"/>
      <c r="J83" s="76"/>
      <c r="K83" s="153"/>
    </row>
    <row r="84" spans="3:12" ht="18.75" x14ac:dyDescent="0.25">
      <c r="C84" s="210" t="e">
        <f>IFERROR(VLOOKUP(D83,'1. Desarrollo e Innov. Curricu.'!$F:$G,2,FALSE),IFERROR(VLOOKUP(D83,'2. Investigación Científica'!$F:$G,2,FALSE),IFERROR(VLOOKUP(D83,'3. Vinculación Univ. Sociedad'!$F:$G,2,FALSE),IFERROR(VLOOKUP(D83,'4. Docencia y Profesorado Univ.'!$F:$G,2,FALSE),IFERROR(VLOOKUP(D83,'5. Estudiantes y Graduados'!$F:$G,2,FALSE),IFERROR(VLOOKUP(D83,'11. Gestion Administrativa'!$F:$G,2,FALSE),IFERROR(VLOOKUP(D83,'13. Gestión Académica'!$F:$G,2,FALSE),IFERROR(VLOOKUP(D83,'9. Asegura. de la Calid. y M'!$F:$G,2,FALSE),IFERROR(VLOOKUP(D83,'6. Gestión del Conocimiento'!$F:$G,2,FALSE),IFERROR(VLOOKUP(D83,'15. Gobernabilidad y Proceso...'!$F:$G,2,FALSE),IFERROR(VLOOKUP(D83,'12. Gestión del Talento Humano'!$F:$G,2,FALSE),IFERROR(VLOOKUP(D83,'14. Internacional... de la E.S.'!$F:$G,2,FALSE),IFERROR(VLOOKUP(D83,'10. Posgrado'!$F:$G,2,FALSE),IFERROR(VLOOKUP(D83,'17. Gestión TIC'!$F:$G,2,FALSE),IFERROR(VLOOKUP(D83,'16. Desa. del Sistema Educ.Sup.'!$F:$G,2,FALSE),IFERROR(VLOOKUP(D83,'8. Cultura de Inno. Insti...'!$F:$G,2,FALSE),VLOOKUP(D83,'7. Lo Esencial de la Reforma U.'!$F:$G,2,0)))))))))))))))))</f>
        <v>#N/A</v>
      </c>
      <c r="D84" s="31"/>
      <c r="E84" s="93"/>
      <c r="F84" s="93"/>
      <c r="G84" s="93"/>
      <c r="H84" s="76"/>
      <c r="I84" s="76"/>
      <c r="J84" s="76"/>
      <c r="K84" s="153"/>
    </row>
    <row r="85" spans="3:12" ht="15.75" thickBot="1" x14ac:dyDescent="0.3">
      <c r="C85" s="177"/>
      <c r="D85" s="31"/>
      <c r="E85" s="93"/>
      <c r="F85" s="93"/>
      <c r="G85" s="93"/>
      <c r="H85" s="76"/>
      <c r="I85" s="76"/>
      <c r="J85" s="76"/>
      <c r="K85" s="153"/>
    </row>
    <row r="86" spans="3:12" ht="30.75" thickBot="1" x14ac:dyDescent="0.3">
      <c r="C86" s="134" t="s">
        <v>44</v>
      </c>
      <c r="D86" s="138" t="s">
        <v>55</v>
      </c>
      <c r="E86" s="170" t="s">
        <v>56</v>
      </c>
      <c r="F86" s="138" t="s">
        <v>57</v>
      </c>
      <c r="G86" s="135" t="s">
        <v>27</v>
      </c>
      <c r="H86" s="133" t="s">
        <v>130</v>
      </c>
      <c r="I86" s="136" t="s">
        <v>46</v>
      </c>
      <c r="J86" s="136" t="s">
        <v>131</v>
      </c>
      <c r="K86" s="136" t="s">
        <v>409</v>
      </c>
      <c r="L86" s="136" t="s">
        <v>410</v>
      </c>
    </row>
    <row r="87" spans="3:12" ht="15.75" thickBot="1" x14ac:dyDescent="0.3">
      <c r="C87" s="137" t="s">
        <v>481</v>
      </c>
      <c r="D87" s="199"/>
      <c r="E87" s="152">
        <v>12</v>
      </c>
      <c r="F87" s="303">
        <f>HLOOKUP($C87,$BZ$2:$CM$3,2,0)</f>
        <v>43674.39</v>
      </c>
      <c r="G87" s="113">
        <f>D87*E87*F87</f>
        <v>0</v>
      </c>
      <c r="H87" s="166"/>
      <c r="I87" s="114" t="s">
        <v>495</v>
      </c>
      <c r="J87" s="114" t="str">
        <f>VLOOKUP(I87,Presupuesto!$B$11:$C$565,2,0)</f>
        <v>SUELDOS Y SALARIOS PERMANENTES</v>
      </c>
      <c r="K87" s="218" t="s">
        <v>1449</v>
      </c>
      <c r="L87" s="98" t="s">
        <v>393</v>
      </c>
    </row>
    <row r="88" spans="3:12" x14ac:dyDescent="0.25">
      <c r="C88" s="171" t="s">
        <v>58</v>
      </c>
      <c r="D88" s="163"/>
      <c r="E88" s="154">
        <v>0</v>
      </c>
      <c r="F88" s="100">
        <f>IF(E87=0,"",(G87/E87)/12*E87)</f>
        <v>0</v>
      </c>
      <c r="G88" s="97">
        <f>F88</f>
        <v>0</v>
      </c>
      <c r="H88" s="164"/>
      <c r="I88" s="116" t="s">
        <v>515</v>
      </c>
      <c r="J88" s="116" t="str">
        <f>VLOOKUP(I88,Presupuesto!$B$11:$C$565,2,0)</f>
        <v>AGUINALDO Y DECIMO CUARTO MES</v>
      </c>
      <c r="K88" s="98" t="str">
        <f t="shared" ref="K88:K119" si="0">$K$87</f>
        <v>Posgrado</v>
      </c>
      <c r="L88" s="98" t="s">
        <v>411</v>
      </c>
    </row>
    <row r="89" spans="3:12" ht="15.75" thickBot="1" x14ac:dyDescent="0.3">
      <c r="C89" s="172" t="s">
        <v>59</v>
      </c>
      <c r="D89" s="163"/>
      <c r="E89" s="154">
        <v>0</v>
      </c>
      <c r="F89" s="117">
        <f>IF(E87&lt;6,"",((E87-6)/12)*(G87/E87))</f>
        <v>0</v>
      </c>
      <c r="G89" s="97">
        <f>F89</f>
        <v>0</v>
      </c>
      <c r="H89" s="164"/>
      <c r="I89" s="101" t="s">
        <v>518</v>
      </c>
      <c r="J89" s="101" t="str">
        <f>VLOOKUP(I89,Presupuesto!$B$11:$C$565,2,0)</f>
        <v>DECIMOCUARTO MES</v>
      </c>
      <c r="K89" s="98" t="str">
        <f t="shared" si="0"/>
        <v>Posgrado</v>
      </c>
      <c r="L89" s="98" t="s">
        <v>394</v>
      </c>
    </row>
    <row r="90" spans="3:12" ht="15.75" thickBot="1" x14ac:dyDescent="0.3">
      <c r="C90" s="137" t="s">
        <v>482</v>
      </c>
      <c r="D90" s="199"/>
      <c r="E90" s="152">
        <v>12</v>
      </c>
      <c r="F90" s="303">
        <f>HLOOKUP($C90,$BZ$2:$CM$3,2,0)</f>
        <v>39703.99</v>
      </c>
      <c r="G90" s="113">
        <f>D90*E90*F90</f>
        <v>0</v>
      </c>
      <c r="H90" s="166"/>
      <c r="I90" s="114" t="s">
        <v>495</v>
      </c>
      <c r="J90" s="114" t="str">
        <f>VLOOKUP(I90,Presupuesto!$B$11:$C$565,2,0)</f>
        <v>SUELDOS Y SALARIOS PERMANENTES</v>
      </c>
      <c r="K90" s="98" t="str">
        <f t="shared" si="0"/>
        <v>Posgrado</v>
      </c>
      <c r="L90" s="98" t="s">
        <v>394</v>
      </c>
    </row>
    <row r="91" spans="3:12" x14ac:dyDescent="0.25">
      <c r="C91" s="171" t="s">
        <v>58</v>
      </c>
      <c r="D91" s="163"/>
      <c r="E91" s="154">
        <v>0</v>
      </c>
      <c r="F91" s="100">
        <f>IF(E90=0,"",(G90/E90)/12*E90)</f>
        <v>0</v>
      </c>
      <c r="G91" s="97">
        <f>F91</f>
        <v>0</v>
      </c>
      <c r="H91" s="164"/>
      <c r="I91" s="116" t="s">
        <v>515</v>
      </c>
      <c r="J91" s="116" t="str">
        <f>VLOOKUP(I91,Presupuesto!$B$11:$C$565,2,0)</f>
        <v>AGUINALDO Y DECIMO CUARTO MES</v>
      </c>
      <c r="K91" s="98" t="str">
        <f t="shared" si="0"/>
        <v>Posgrado</v>
      </c>
      <c r="L91" s="98" t="s">
        <v>394</v>
      </c>
    </row>
    <row r="92" spans="3:12" ht="15.75" thickBot="1" x14ac:dyDescent="0.3">
      <c r="C92" s="172" t="s">
        <v>59</v>
      </c>
      <c r="D92" s="163"/>
      <c r="E92" s="154">
        <v>0</v>
      </c>
      <c r="F92" s="117">
        <f>IF(E90&lt;6,"",((E90-6)/12)*(G90/E90))</f>
        <v>0</v>
      </c>
      <c r="G92" s="97">
        <f>F92</f>
        <v>0</v>
      </c>
      <c r="H92" s="164"/>
      <c r="I92" s="101" t="s">
        <v>518</v>
      </c>
      <c r="J92" s="101" t="str">
        <f>VLOOKUP(I92,Presupuesto!$B$11:$C$565,2,0)</f>
        <v>DECIMOCUARTO MES</v>
      </c>
      <c r="K92" s="98" t="str">
        <f t="shared" si="0"/>
        <v>Posgrado</v>
      </c>
      <c r="L92" s="98" t="s">
        <v>394</v>
      </c>
    </row>
    <row r="93" spans="3:12" ht="15.75" thickBot="1" x14ac:dyDescent="0.3">
      <c r="C93" s="137" t="s">
        <v>483</v>
      </c>
      <c r="D93" s="199"/>
      <c r="E93" s="152">
        <v>12</v>
      </c>
      <c r="F93" s="303">
        <f>HLOOKUP($C93,$BZ$2:$CM$3,2,0)</f>
        <v>35733.589999999997</v>
      </c>
      <c r="G93" s="113">
        <f>D93*E93*F93</f>
        <v>0</v>
      </c>
      <c r="H93" s="166"/>
      <c r="I93" s="114" t="s">
        <v>495</v>
      </c>
      <c r="J93" s="114" t="str">
        <f>VLOOKUP(I93,Presupuesto!$B$11:$C$565,2,0)</f>
        <v>SUELDOS Y SALARIOS PERMANENTES</v>
      </c>
      <c r="K93" s="98" t="str">
        <f t="shared" si="0"/>
        <v>Posgrado</v>
      </c>
      <c r="L93" s="98" t="s">
        <v>394</v>
      </c>
    </row>
    <row r="94" spans="3:12" x14ac:dyDescent="0.25">
      <c r="C94" s="171" t="s">
        <v>58</v>
      </c>
      <c r="D94" s="163"/>
      <c r="E94" s="154">
        <v>0</v>
      </c>
      <c r="F94" s="100">
        <f>IF(E93=0,"",(G93/E93)/12*E93)</f>
        <v>0</v>
      </c>
      <c r="G94" s="97">
        <f>F94</f>
        <v>0</v>
      </c>
      <c r="H94" s="164"/>
      <c r="I94" s="116" t="s">
        <v>515</v>
      </c>
      <c r="J94" s="116" t="str">
        <f>VLOOKUP(I94,Presupuesto!$B$11:$C$565,2,0)</f>
        <v>AGUINALDO Y DECIMO CUARTO MES</v>
      </c>
      <c r="K94" s="98" t="str">
        <f t="shared" si="0"/>
        <v>Posgrado</v>
      </c>
      <c r="L94" s="98" t="s">
        <v>394</v>
      </c>
    </row>
    <row r="95" spans="3:12" ht="15.75" thickBot="1" x14ac:dyDescent="0.3">
      <c r="C95" s="172" t="s">
        <v>59</v>
      </c>
      <c r="D95" s="163"/>
      <c r="E95" s="154">
        <v>0</v>
      </c>
      <c r="F95" s="117">
        <f>IF(E93&lt;6,"",((E93-6)/12)*(G93/E93))</f>
        <v>0</v>
      </c>
      <c r="G95" s="97">
        <f>F95</f>
        <v>0</v>
      </c>
      <c r="H95" s="164"/>
      <c r="I95" s="101" t="s">
        <v>518</v>
      </c>
      <c r="J95" s="101" t="str">
        <f>VLOOKUP(I95,Presupuesto!$B$11:$C$565,2,0)</f>
        <v>DECIMOCUARTO MES</v>
      </c>
      <c r="K95" s="98" t="str">
        <f t="shared" si="0"/>
        <v>Posgrado</v>
      </c>
      <c r="L95" s="98" t="s">
        <v>394</v>
      </c>
    </row>
    <row r="96" spans="3:12" ht="15.75" thickBot="1" x14ac:dyDescent="0.3">
      <c r="C96" s="137" t="s">
        <v>484</v>
      </c>
      <c r="D96" s="199"/>
      <c r="E96" s="152">
        <v>12</v>
      </c>
      <c r="F96" s="303">
        <f>HLOOKUP($C96,$BZ$2:$CM$3,2,0)</f>
        <v>31763.19</v>
      </c>
      <c r="G96" s="113">
        <f>D96*E96*F96</f>
        <v>0</v>
      </c>
      <c r="H96" s="166"/>
      <c r="I96" s="114" t="s">
        <v>495</v>
      </c>
      <c r="J96" s="114" t="str">
        <f>VLOOKUP(I96,Presupuesto!$B$11:$C$565,2,0)</f>
        <v>SUELDOS Y SALARIOS PERMANENTES</v>
      </c>
      <c r="K96" s="98" t="str">
        <f t="shared" si="0"/>
        <v>Posgrado</v>
      </c>
      <c r="L96" s="98" t="s">
        <v>394</v>
      </c>
    </row>
    <row r="97" spans="3:12" x14ac:dyDescent="0.25">
      <c r="C97" s="171" t="s">
        <v>58</v>
      </c>
      <c r="D97" s="163"/>
      <c r="E97" s="154">
        <v>0</v>
      </c>
      <c r="F97" s="100">
        <f>IF(E96=0,"",(G96/E96)/12*E96)</f>
        <v>0</v>
      </c>
      <c r="G97" s="97">
        <f>F97</f>
        <v>0</v>
      </c>
      <c r="H97" s="164"/>
      <c r="I97" s="116" t="s">
        <v>515</v>
      </c>
      <c r="J97" s="116" t="str">
        <f>VLOOKUP(I97,Presupuesto!$B$11:$C$565,2,0)</f>
        <v>AGUINALDO Y DECIMO CUARTO MES</v>
      </c>
      <c r="K97" s="98" t="str">
        <f t="shared" si="0"/>
        <v>Posgrado</v>
      </c>
      <c r="L97" s="98" t="s">
        <v>394</v>
      </c>
    </row>
    <row r="98" spans="3:12" ht="15.75" thickBot="1" x14ac:dyDescent="0.3">
      <c r="C98" s="172" t="s">
        <v>59</v>
      </c>
      <c r="D98" s="163"/>
      <c r="E98" s="154">
        <v>0</v>
      </c>
      <c r="F98" s="117">
        <f>IF(E96&lt;6,"",((E96-6)/12)*(G96/E96))</f>
        <v>0</v>
      </c>
      <c r="G98" s="97">
        <f>F98</f>
        <v>0</v>
      </c>
      <c r="H98" s="164"/>
      <c r="I98" s="101" t="s">
        <v>518</v>
      </c>
      <c r="J98" s="101" t="str">
        <f>VLOOKUP(I98,Presupuesto!$B$11:$C$565,2,0)</f>
        <v>DECIMOCUARTO MES</v>
      </c>
      <c r="K98" s="98" t="str">
        <f t="shared" si="0"/>
        <v>Posgrado</v>
      </c>
      <c r="L98" s="98" t="s">
        <v>394</v>
      </c>
    </row>
    <row r="99" spans="3:12" ht="15.75" thickBot="1" x14ac:dyDescent="0.3">
      <c r="C99" s="137" t="s">
        <v>485</v>
      </c>
      <c r="D99" s="199"/>
      <c r="E99" s="152">
        <v>12</v>
      </c>
      <c r="F99" s="303">
        <f>HLOOKUP($C99,$BZ$2:$CM$3,2,0)</f>
        <v>29777.99</v>
      </c>
      <c r="G99" s="113">
        <f>D99*E99*F99</f>
        <v>0</v>
      </c>
      <c r="H99" s="166"/>
      <c r="I99" s="114" t="s">
        <v>495</v>
      </c>
      <c r="J99" s="114" t="str">
        <f>VLOOKUP(I99,Presupuesto!$B$11:$C$565,2,0)</f>
        <v>SUELDOS Y SALARIOS PERMANENTES</v>
      </c>
      <c r="K99" s="98" t="str">
        <f t="shared" si="0"/>
        <v>Posgrado</v>
      </c>
      <c r="L99" s="98" t="s">
        <v>394</v>
      </c>
    </row>
    <row r="100" spans="3:12" x14ac:dyDescent="0.25">
      <c r="C100" s="171" t="s">
        <v>58</v>
      </c>
      <c r="D100" s="163"/>
      <c r="E100" s="154">
        <v>0</v>
      </c>
      <c r="F100" s="100">
        <f>IF(E99=0,"",(G99/E99)/12*E99)</f>
        <v>0</v>
      </c>
      <c r="G100" s="97">
        <f>F100</f>
        <v>0</v>
      </c>
      <c r="H100" s="164"/>
      <c r="I100" s="116" t="s">
        <v>515</v>
      </c>
      <c r="J100" s="116" t="str">
        <f>VLOOKUP(I100,Presupuesto!$B$11:$C$565,2,0)</f>
        <v>AGUINALDO Y DECIMO CUARTO MES</v>
      </c>
      <c r="K100" s="98" t="str">
        <f t="shared" si="0"/>
        <v>Posgrado</v>
      </c>
      <c r="L100" s="98" t="s">
        <v>394</v>
      </c>
    </row>
    <row r="101" spans="3:12" ht="15.75" thickBot="1" x14ac:dyDescent="0.3">
      <c r="C101" s="172" t="s">
        <v>59</v>
      </c>
      <c r="D101" s="163"/>
      <c r="E101" s="154">
        <v>0</v>
      </c>
      <c r="F101" s="117">
        <f>IF(E99&lt;6,"",((E99-6)/12)*(G99/E99))</f>
        <v>0</v>
      </c>
      <c r="G101" s="97">
        <f>F101</f>
        <v>0</v>
      </c>
      <c r="H101" s="164"/>
      <c r="I101" s="101" t="s">
        <v>518</v>
      </c>
      <c r="J101" s="101" t="str">
        <f>VLOOKUP(I101,Presupuesto!$B$11:$C$565,2,0)</f>
        <v>DECIMOCUARTO MES</v>
      </c>
      <c r="K101" s="98" t="str">
        <f t="shared" si="0"/>
        <v>Posgrado</v>
      </c>
      <c r="L101" s="98" t="s">
        <v>394</v>
      </c>
    </row>
    <row r="102" spans="3:12" ht="15.75" thickBot="1" x14ac:dyDescent="0.3">
      <c r="C102" s="137" t="s">
        <v>486</v>
      </c>
      <c r="D102" s="199"/>
      <c r="E102" s="152">
        <v>12</v>
      </c>
      <c r="F102" s="303">
        <f>HLOOKUP($C102,$BZ$2:$CM$3,2,0)</f>
        <v>27792.79</v>
      </c>
      <c r="G102" s="113">
        <f>D102*E102*F102</f>
        <v>0</v>
      </c>
      <c r="H102" s="166"/>
      <c r="I102" s="114" t="s">
        <v>495</v>
      </c>
      <c r="J102" s="114" t="str">
        <f>VLOOKUP(I102,Presupuesto!$B$11:$C$565,2,0)</f>
        <v>SUELDOS Y SALARIOS PERMANENTES</v>
      </c>
      <c r="K102" s="98" t="str">
        <f t="shared" si="0"/>
        <v>Posgrado</v>
      </c>
      <c r="L102" s="98" t="s">
        <v>394</v>
      </c>
    </row>
    <row r="103" spans="3:12" x14ac:dyDescent="0.25">
      <c r="C103" s="171" t="s">
        <v>58</v>
      </c>
      <c r="D103" s="163"/>
      <c r="E103" s="154">
        <v>0</v>
      </c>
      <c r="F103" s="100">
        <f>IF(E102=0,"",(G102/E102)/12*E102)</f>
        <v>0</v>
      </c>
      <c r="G103" s="97">
        <f>F103</f>
        <v>0</v>
      </c>
      <c r="H103" s="164"/>
      <c r="I103" s="116" t="s">
        <v>515</v>
      </c>
      <c r="J103" s="116" t="str">
        <f>VLOOKUP(I103,Presupuesto!$B$11:$C$565,2,0)</f>
        <v>AGUINALDO Y DECIMO CUARTO MES</v>
      </c>
      <c r="K103" s="98" t="str">
        <f t="shared" si="0"/>
        <v>Posgrado</v>
      </c>
      <c r="L103" s="98" t="s">
        <v>394</v>
      </c>
    </row>
    <row r="104" spans="3:12" ht="15.75" thickBot="1" x14ac:dyDescent="0.3">
      <c r="C104" s="172" t="s">
        <v>59</v>
      </c>
      <c r="D104" s="163"/>
      <c r="E104" s="154">
        <v>0</v>
      </c>
      <c r="F104" s="117">
        <f>IF(E102&lt;6,"",((E102-6)/12)*(G102/E102))</f>
        <v>0</v>
      </c>
      <c r="G104" s="97">
        <f>F104</f>
        <v>0</v>
      </c>
      <c r="H104" s="164"/>
      <c r="I104" s="101" t="s">
        <v>518</v>
      </c>
      <c r="J104" s="101" t="str">
        <f>VLOOKUP(I104,Presupuesto!$B$11:$C$565,2,0)</f>
        <v>DECIMOCUARTO MES</v>
      </c>
      <c r="K104" s="98" t="str">
        <f t="shared" si="0"/>
        <v>Posgrado</v>
      </c>
      <c r="L104" s="98" t="s">
        <v>394</v>
      </c>
    </row>
    <row r="105" spans="3:12" ht="15.75" thickBot="1" x14ac:dyDescent="0.3">
      <c r="C105" s="137" t="s">
        <v>487</v>
      </c>
      <c r="D105" s="199"/>
      <c r="E105" s="152">
        <v>12</v>
      </c>
      <c r="F105" s="303">
        <f>HLOOKUP($C105,$BZ$2:$CM$3,2,0)</f>
        <v>18859.39</v>
      </c>
      <c r="G105" s="113">
        <f>D105*E105*F105</f>
        <v>0</v>
      </c>
      <c r="H105" s="166"/>
      <c r="I105" s="114" t="s">
        <v>495</v>
      </c>
      <c r="J105" s="114" t="str">
        <f>VLOOKUP(I105,Presupuesto!$B$11:$C$565,2,0)</f>
        <v>SUELDOS Y SALARIOS PERMANENTES</v>
      </c>
      <c r="K105" s="98" t="str">
        <f t="shared" si="0"/>
        <v>Posgrado</v>
      </c>
      <c r="L105" s="98" t="s">
        <v>394</v>
      </c>
    </row>
    <row r="106" spans="3:12" x14ac:dyDescent="0.25">
      <c r="C106" s="171" t="s">
        <v>58</v>
      </c>
      <c r="D106" s="163"/>
      <c r="E106" s="154">
        <v>0</v>
      </c>
      <c r="F106" s="100">
        <f>IF(E105=0,"",(G105/E105)/12*E105)</f>
        <v>0</v>
      </c>
      <c r="G106" s="97">
        <f>F106</f>
        <v>0</v>
      </c>
      <c r="H106" s="164"/>
      <c r="I106" s="116" t="s">
        <v>515</v>
      </c>
      <c r="J106" s="116" t="str">
        <f>VLOOKUP(I106,Presupuesto!$B$11:$C$565,2,0)</f>
        <v>AGUINALDO Y DECIMO CUARTO MES</v>
      </c>
      <c r="K106" s="98" t="str">
        <f t="shared" si="0"/>
        <v>Posgrado</v>
      </c>
      <c r="L106" s="98" t="s">
        <v>394</v>
      </c>
    </row>
    <row r="107" spans="3:12" ht="15.75" thickBot="1" x14ac:dyDescent="0.3">
      <c r="C107" s="172" t="s">
        <v>59</v>
      </c>
      <c r="D107" s="163"/>
      <c r="E107" s="154">
        <v>0</v>
      </c>
      <c r="F107" s="117">
        <f>IF(E105&lt;6,"",((E105-6)/12)*(G105/E105))</f>
        <v>0</v>
      </c>
      <c r="G107" s="97">
        <f>F107</f>
        <v>0</v>
      </c>
      <c r="H107" s="164"/>
      <c r="I107" s="101" t="s">
        <v>518</v>
      </c>
      <c r="J107" s="101" t="str">
        <f>VLOOKUP(I107,Presupuesto!$B$11:$C$565,2,0)</f>
        <v>DECIMOCUARTO MES</v>
      </c>
      <c r="K107" s="98" t="str">
        <f t="shared" si="0"/>
        <v>Posgrado</v>
      </c>
      <c r="L107" s="98" t="s">
        <v>394</v>
      </c>
    </row>
    <row r="108" spans="3:12" ht="15.75" thickBot="1" x14ac:dyDescent="0.3">
      <c r="C108" s="137" t="s">
        <v>488</v>
      </c>
      <c r="D108" s="199"/>
      <c r="E108" s="152">
        <v>12</v>
      </c>
      <c r="F108" s="303">
        <f>HLOOKUP($C108,$BZ$2:$CM$3,2,0)</f>
        <v>17866.8</v>
      </c>
      <c r="G108" s="113">
        <f>D108*E108*F108</f>
        <v>0</v>
      </c>
      <c r="H108" s="166"/>
      <c r="I108" s="114" t="s">
        <v>495</v>
      </c>
      <c r="J108" s="114" t="str">
        <f>VLOOKUP(I108,Presupuesto!$B$11:$C$565,2,0)</f>
        <v>SUELDOS Y SALARIOS PERMANENTES</v>
      </c>
      <c r="K108" s="98" t="str">
        <f t="shared" si="0"/>
        <v>Posgrado</v>
      </c>
      <c r="L108" s="98" t="s">
        <v>394</v>
      </c>
    </row>
    <row r="109" spans="3:12" x14ac:dyDescent="0.25">
      <c r="C109" s="171" t="s">
        <v>58</v>
      </c>
      <c r="D109" s="163"/>
      <c r="E109" s="154">
        <v>0</v>
      </c>
      <c r="F109" s="100">
        <f>IF(E108=0,"",(G108/E108)/12*E108)</f>
        <v>0</v>
      </c>
      <c r="G109" s="97">
        <f>F109</f>
        <v>0</v>
      </c>
      <c r="H109" s="164"/>
      <c r="I109" s="116" t="s">
        <v>515</v>
      </c>
      <c r="J109" s="116" t="str">
        <f>VLOOKUP(I109,Presupuesto!$B$11:$C$565,2,0)</f>
        <v>AGUINALDO Y DECIMO CUARTO MES</v>
      </c>
      <c r="K109" s="98" t="str">
        <f t="shared" si="0"/>
        <v>Posgrado</v>
      </c>
      <c r="L109" s="98" t="s">
        <v>394</v>
      </c>
    </row>
    <row r="110" spans="3:12" ht="15.75" thickBot="1" x14ac:dyDescent="0.3">
      <c r="C110" s="172" t="s">
        <v>59</v>
      </c>
      <c r="D110" s="163"/>
      <c r="E110" s="154">
        <v>0</v>
      </c>
      <c r="F110" s="117">
        <f>IF(E108&lt;6,"",((E108-6)/12)*(G108/E108))</f>
        <v>0</v>
      </c>
      <c r="G110" s="97">
        <f>F110</f>
        <v>0</v>
      </c>
      <c r="H110" s="164"/>
      <c r="I110" s="101" t="s">
        <v>518</v>
      </c>
      <c r="J110" s="101" t="str">
        <f>VLOOKUP(I110,Presupuesto!$B$11:$C$565,2,0)</f>
        <v>DECIMOCUARTO MES</v>
      </c>
      <c r="K110" s="98" t="str">
        <f t="shared" si="0"/>
        <v>Posgrado</v>
      </c>
      <c r="L110" s="98" t="s">
        <v>394</v>
      </c>
    </row>
    <row r="111" spans="3:12" ht="15.75" thickBot="1" x14ac:dyDescent="0.3">
      <c r="C111" s="137" t="s">
        <v>489</v>
      </c>
      <c r="D111" s="199"/>
      <c r="E111" s="152">
        <v>12</v>
      </c>
      <c r="F111" s="303">
        <f>HLOOKUP($C111,$BZ$2:$CM$3,2,0)</f>
        <v>13896.4</v>
      </c>
      <c r="G111" s="113">
        <f>D111*E111*F111</f>
        <v>0</v>
      </c>
      <c r="H111" s="166"/>
      <c r="I111" s="114" t="s">
        <v>495</v>
      </c>
      <c r="J111" s="114" t="str">
        <f>VLOOKUP(I111,Presupuesto!$B$11:$C$565,2,0)</f>
        <v>SUELDOS Y SALARIOS PERMANENTES</v>
      </c>
      <c r="K111" s="98" t="str">
        <f t="shared" si="0"/>
        <v>Posgrado</v>
      </c>
      <c r="L111" s="98" t="s">
        <v>394</v>
      </c>
    </row>
    <row r="112" spans="3:12" x14ac:dyDescent="0.25">
      <c r="C112" s="171" t="s">
        <v>58</v>
      </c>
      <c r="D112" s="163"/>
      <c r="E112" s="154">
        <v>0</v>
      </c>
      <c r="F112" s="100">
        <f>IF(E111=0,"",(G111/E111)/12*E111)</f>
        <v>0</v>
      </c>
      <c r="G112" s="97">
        <f>F112</f>
        <v>0</v>
      </c>
      <c r="H112" s="164"/>
      <c r="I112" s="116" t="s">
        <v>515</v>
      </c>
      <c r="J112" s="116" t="str">
        <f>VLOOKUP(I112,Presupuesto!$B$11:$C$565,2,0)</f>
        <v>AGUINALDO Y DECIMO CUARTO MES</v>
      </c>
      <c r="K112" s="98" t="str">
        <f t="shared" si="0"/>
        <v>Posgrado</v>
      </c>
      <c r="L112" s="98" t="s">
        <v>394</v>
      </c>
    </row>
    <row r="113" spans="3:12" ht="15.75" thickBot="1" x14ac:dyDescent="0.3">
      <c r="C113" s="172" t="s">
        <v>59</v>
      </c>
      <c r="D113" s="163"/>
      <c r="E113" s="154">
        <v>0</v>
      </c>
      <c r="F113" s="117">
        <f>IF(E111&lt;6,"",((E111-6)/12)*(G111/E111))</f>
        <v>0</v>
      </c>
      <c r="G113" s="97">
        <f>F113</f>
        <v>0</v>
      </c>
      <c r="H113" s="164"/>
      <c r="I113" s="101" t="s">
        <v>518</v>
      </c>
      <c r="J113" s="101" t="str">
        <f>VLOOKUP(I113,Presupuesto!$B$11:$C$565,2,0)</f>
        <v>DECIMOCUARTO MES</v>
      </c>
      <c r="K113" s="98" t="str">
        <f t="shared" si="0"/>
        <v>Posgrado</v>
      </c>
      <c r="L113" s="98" t="s">
        <v>394</v>
      </c>
    </row>
    <row r="114" spans="3:12" ht="15.75" thickBot="1" x14ac:dyDescent="0.3">
      <c r="C114" s="137" t="s">
        <v>490</v>
      </c>
      <c r="D114" s="199"/>
      <c r="E114" s="152">
        <v>12</v>
      </c>
      <c r="F114" s="303">
        <f>HLOOKUP($C114,$BZ$2:$CM$3,2,0)</f>
        <v>15004.09</v>
      </c>
      <c r="G114" s="113">
        <f>D114*E114*F114</f>
        <v>0</v>
      </c>
      <c r="H114" s="166"/>
      <c r="I114" s="114" t="s">
        <v>495</v>
      </c>
      <c r="J114" s="114" t="str">
        <f>VLOOKUP(I114,Presupuesto!$B$11:$C$565,2,0)</f>
        <v>SUELDOS Y SALARIOS PERMANENTES</v>
      </c>
      <c r="K114" s="98" t="str">
        <f t="shared" si="0"/>
        <v>Posgrado</v>
      </c>
      <c r="L114" s="98" t="s">
        <v>394</v>
      </c>
    </row>
    <row r="115" spans="3:12" x14ac:dyDescent="0.25">
      <c r="C115" s="171" t="s">
        <v>58</v>
      </c>
      <c r="D115" s="163"/>
      <c r="E115" s="154">
        <v>0</v>
      </c>
      <c r="F115" s="100">
        <f>IF(E114=0,"",(G114/E114)/12*E114)</f>
        <v>0</v>
      </c>
      <c r="G115" s="97">
        <f>F115</f>
        <v>0</v>
      </c>
      <c r="H115" s="164"/>
      <c r="I115" s="116" t="s">
        <v>515</v>
      </c>
      <c r="J115" s="116" t="str">
        <f>VLOOKUP(I115,Presupuesto!$B$11:$C$565,2,0)</f>
        <v>AGUINALDO Y DECIMO CUARTO MES</v>
      </c>
      <c r="K115" s="98" t="str">
        <f t="shared" si="0"/>
        <v>Posgrado</v>
      </c>
      <c r="L115" s="98" t="s">
        <v>394</v>
      </c>
    </row>
    <row r="116" spans="3:12" ht="15.75" thickBot="1" x14ac:dyDescent="0.3">
      <c r="C116" s="172" t="s">
        <v>59</v>
      </c>
      <c r="D116" s="163"/>
      <c r="E116" s="154">
        <v>0</v>
      </c>
      <c r="F116" s="117">
        <f>IF(E114&lt;6,"",((E114-6)/12)*(G114/E114))</f>
        <v>0</v>
      </c>
      <c r="G116" s="97">
        <f>F116</f>
        <v>0</v>
      </c>
      <c r="H116" s="164"/>
      <c r="I116" s="101" t="s">
        <v>518</v>
      </c>
      <c r="J116" s="101" t="str">
        <f>VLOOKUP(I116,Presupuesto!$B$11:$C$565,2,0)</f>
        <v>DECIMOCUARTO MES</v>
      </c>
      <c r="K116" s="98" t="str">
        <f t="shared" si="0"/>
        <v>Posgrado</v>
      </c>
      <c r="L116" s="98" t="s">
        <v>394</v>
      </c>
    </row>
    <row r="117" spans="3:12" ht="15.75" thickBot="1" x14ac:dyDescent="0.3">
      <c r="C117" s="137" t="s">
        <v>491</v>
      </c>
      <c r="D117" s="199"/>
      <c r="E117" s="152">
        <v>12</v>
      </c>
      <c r="F117" s="303">
        <f>HLOOKUP($C117,$BZ$2:$CM$3,2,0)</f>
        <v>13238.9</v>
      </c>
      <c r="G117" s="113">
        <f>D117*E117*F117</f>
        <v>0</v>
      </c>
      <c r="H117" s="166"/>
      <c r="I117" s="114" t="s">
        <v>495</v>
      </c>
      <c r="J117" s="114" t="str">
        <f>VLOOKUP(I117,Presupuesto!$B$11:$C$565,2,0)</f>
        <v>SUELDOS Y SALARIOS PERMANENTES</v>
      </c>
      <c r="K117" s="98" t="str">
        <f t="shared" si="0"/>
        <v>Posgrado</v>
      </c>
      <c r="L117" s="98" t="s">
        <v>394</v>
      </c>
    </row>
    <row r="118" spans="3:12" x14ac:dyDescent="0.25">
      <c r="C118" s="171" t="s">
        <v>58</v>
      </c>
      <c r="D118" s="163"/>
      <c r="E118" s="154">
        <v>0</v>
      </c>
      <c r="F118" s="100">
        <f>IF(E117=0,"",(G117/E117)/12*E117)</f>
        <v>0</v>
      </c>
      <c r="G118" s="97">
        <f>F118</f>
        <v>0</v>
      </c>
      <c r="H118" s="164"/>
      <c r="I118" s="116" t="s">
        <v>515</v>
      </c>
      <c r="J118" s="116" t="str">
        <f>VLOOKUP(I118,Presupuesto!$B$11:$C$565,2,0)</f>
        <v>AGUINALDO Y DECIMO CUARTO MES</v>
      </c>
      <c r="K118" s="98" t="str">
        <f t="shared" si="0"/>
        <v>Posgrado</v>
      </c>
      <c r="L118" s="98" t="s">
        <v>394</v>
      </c>
    </row>
    <row r="119" spans="3:12" ht="15.75" thickBot="1" x14ac:dyDescent="0.3">
      <c r="C119" s="172" t="s">
        <v>59</v>
      </c>
      <c r="D119" s="163"/>
      <c r="E119" s="154">
        <v>0</v>
      </c>
      <c r="F119" s="117">
        <f>IF(E117&lt;6,"",((E117-6)/12)*(G117/E117))</f>
        <v>0</v>
      </c>
      <c r="G119" s="97">
        <f>F119</f>
        <v>0</v>
      </c>
      <c r="H119" s="164"/>
      <c r="I119" s="101" t="s">
        <v>518</v>
      </c>
      <c r="J119" s="101" t="str">
        <f>VLOOKUP(I119,Presupuesto!$B$11:$C$565,2,0)</f>
        <v>DECIMOCUARTO MES</v>
      </c>
      <c r="K119" s="98" t="str">
        <f t="shared" si="0"/>
        <v>Posgrado</v>
      </c>
      <c r="L119" s="98" t="s">
        <v>394</v>
      </c>
    </row>
    <row r="120" spans="3:12" ht="15.75" thickBot="1" x14ac:dyDescent="0.3">
      <c r="C120" s="137" t="s">
        <v>492</v>
      </c>
      <c r="D120" s="199"/>
      <c r="E120" s="152">
        <v>12</v>
      </c>
      <c r="F120" s="303">
        <f>HLOOKUP($C120,$BZ$2:$CM$3,2,0)</f>
        <v>12356.31</v>
      </c>
      <c r="G120" s="113">
        <f>D120*E120*F120</f>
        <v>0</v>
      </c>
      <c r="H120" s="166"/>
      <c r="I120" s="114" t="s">
        <v>495</v>
      </c>
      <c r="J120" s="114" t="str">
        <f>VLOOKUP(I120,Presupuesto!$B$11:$C$565,2,0)</f>
        <v>SUELDOS Y SALARIOS PERMANENTES</v>
      </c>
      <c r="K120" s="98" t="str">
        <f t="shared" ref="K120:K137" si="1">$K$87</f>
        <v>Posgrado</v>
      </c>
      <c r="L120" s="98" t="s">
        <v>394</v>
      </c>
    </row>
    <row r="121" spans="3:12" x14ac:dyDescent="0.25">
      <c r="C121" s="171" t="s">
        <v>58</v>
      </c>
      <c r="D121" s="163"/>
      <c r="E121" s="154">
        <v>0</v>
      </c>
      <c r="F121" s="100">
        <f>IF(E120=0,"",(G120/E120)/12*E120)</f>
        <v>0</v>
      </c>
      <c r="G121" s="97">
        <f>F121</f>
        <v>0</v>
      </c>
      <c r="H121" s="164"/>
      <c r="I121" s="116" t="s">
        <v>515</v>
      </c>
      <c r="J121" s="116" t="str">
        <f>VLOOKUP(I121,Presupuesto!$B$11:$C$565,2,0)</f>
        <v>AGUINALDO Y DECIMO CUARTO MES</v>
      </c>
      <c r="K121" s="98" t="str">
        <f t="shared" si="1"/>
        <v>Posgrado</v>
      </c>
      <c r="L121" s="98" t="s">
        <v>394</v>
      </c>
    </row>
    <row r="122" spans="3:12" ht="15.75" thickBot="1" x14ac:dyDescent="0.3">
      <c r="C122" s="172" t="s">
        <v>59</v>
      </c>
      <c r="D122" s="163"/>
      <c r="E122" s="154">
        <v>0</v>
      </c>
      <c r="F122" s="117">
        <f>IF(E120&lt;6,"",((E120-6)/12)*(G120/E120))</f>
        <v>0</v>
      </c>
      <c r="G122" s="97">
        <f>F122</f>
        <v>0</v>
      </c>
      <c r="H122" s="164"/>
      <c r="I122" s="101" t="s">
        <v>518</v>
      </c>
      <c r="J122" s="101" t="str">
        <f>VLOOKUP(I122,Presupuesto!$B$11:$C$565,2,0)</f>
        <v>DECIMOCUARTO MES</v>
      </c>
      <c r="K122" s="98" t="str">
        <f t="shared" si="1"/>
        <v>Posgrado</v>
      </c>
      <c r="L122" s="98" t="s">
        <v>394</v>
      </c>
    </row>
    <row r="123" spans="3:12" ht="15.75" thickBot="1" x14ac:dyDescent="0.3">
      <c r="C123" s="137" t="s">
        <v>493</v>
      </c>
      <c r="D123" s="199"/>
      <c r="E123" s="152">
        <v>12</v>
      </c>
      <c r="F123" s="303">
        <f>HLOOKUP($C123,$BZ$2:$CM$3,2,0)</f>
        <v>463.22</v>
      </c>
      <c r="G123" s="113">
        <f>D123*E123*F123</f>
        <v>0</v>
      </c>
      <c r="H123" s="166"/>
      <c r="I123" s="114" t="s">
        <v>495</v>
      </c>
      <c r="J123" s="114" t="str">
        <f>VLOOKUP(I123,Presupuesto!$B$11:$C$565,2,0)</f>
        <v>SUELDOS Y SALARIOS PERMANENTES</v>
      </c>
      <c r="K123" s="98" t="str">
        <f t="shared" si="1"/>
        <v>Posgrado</v>
      </c>
      <c r="L123" s="98" t="s">
        <v>394</v>
      </c>
    </row>
    <row r="124" spans="3:12" x14ac:dyDescent="0.25">
      <c r="C124" s="171" t="s">
        <v>58</v>
      </c>
      <c r="D124" s="163"/>
      <c r="E124" s="154">
        <v>0</v>
      </c>
      <c r="F124" s="100">
        <f>IF(E123=0,"",(G123/E123)/12*E123)</f>
        <v>0</v>
      </c>
      <c r="G124" s="97">
        <f>F124</f>
        <v>0</v>
      </c>
      <c r="H124" s="164"/>
      <c r="I124" s="116" t="s">
        <v>515</v>
      </c>
      <c r="J124" s="116" t="str">
        <f>VLOOKUP(I124,Presupuesto!$B$11:$C$565,2,0)</f>
        <v>AGUINALDO Y DECIMO CUARTO MES</v>
      </c>
      <c r="K124" s="98" t="str">
        <f t="shared" si="1"/>
        <v>Posgrado</v>
      </c>
      <c r="L124" s="98" t="s">
        <v>394</v>
      </c>
    </row>
    <row r="125" spans="3:12" ht="15.75" thickBot="1" x14ac:dyDescent="0.3">
      <c r="C125" s="172" t="s">
        <v>59</v>
      </c>
      <c r="D125" s="163"/>
      <c r="E125" s="154">
        <v>0</v>
      </c>
      <c r="F125" s="117">
        <f>IF(E123&lt;6,"",((E123-6)/12)*(G123/E123))</f>
        <v>0</v>
      </c>
      <c r="G125" s="97">
        <f>F125</f>
        <v>0</v>
      </c>
      <c r="H125" s="164"/>
      <c r="I125" s="101" t="s">
        <v>518</v>
      </c>
      <c r="J125" s="101" t="str">
        <f>VLOOKUP(I125,Presupuesto!$B$11:$C$565,2,0)</f>
        <v>DECIMOCUARTO MES</v>
      </c>
      <c r="K125" s="98" t="str">
        <f t="shared" si="1"/>
        <v>Posgrado</v>
      </c>
      <c r="L125" s="98" t="s">
        <v>394</v>
      </c>
    </row>
    <row r="126" spans="3:12" ht="15.75" thickBot="1" x14ac:dyDescent="0.3">
      <c r="C126" s="137" t="s">
        <v>494</v>
      </c>
      <c r="D126" s="199"/>
      <c r="E126" s="152">
        <v>12</v>
      </c>
      <c r="F126" s="303">
        <f>HLOOKUP($C126,$BZ$2:$CM$3,2,0)</f>
        <v>2007.3</v>
      </c>
      <c r="G126" s="113">
        <f>D126*E126*F126</f>
        <v>0</v>
      </c>
      <c r="H126" s="166"/>
      <c r="I126" s="114" t="s">
        <v>495</v>
      </c>
      <c r="J126" s="114" t="str">
        <f>VLOOKUP(I126,Presupuesto!$B$11:$C$565,2,0)</f>
        <v>SUELDOS Y SALARIOS PERMANENTES</v>
      </c>
      <c r="K126" s="98" t="str">
        <f t="shared" si="1"/>
        <v>Posgrado</v>
      </c>
      <c r="L126" s="98" t="s">
        <v>394</v>
      </c>
    </row>
    <row r="127" spans="3:12" x14ac:dyDescent="0.25">
      <c r="C127" s="171" t="s">
        <v>58</v>
      </c>
      <c r="D127" s="163"/>
      <c r="E127" s="154">
        <v>0</v>
      </c>
      <c r="F127" s="100">
        <f>IF(E126=0,"",(G126/E126)/12*E126)</f>
        <v>0</v>
      </c>
      <c r="G127" s="97">
        <f>F127</f>
        <v>0</v>
      </c>
      <c r="H127" s="164"/>
      <c r="I127" s="116" t="s">
        <v>515</v>
      </c>
      <c r="J127" s="116" t="str">
        <f>VLOOKUP(I127,Presupuesto!$B$11:$C$565,2,0)</f>
        <v>AGUINALDO Y DECIMO CUARTO MES</v>
      </c>
      <c r="K127" s="98" t="str">
        <f t="shared" si="1"/>
        <v>Posgrado</v>
      </c>
      <c r="L127" s="98" t="s">
        <v>394</v>
      </c>
    </row>
    <row r="128" spans="3:12" ht="15.75" thickBot="1" x14ac:dyDescent="0.3">
      <c r="C128" s="172" t="s">
        <v>59</v>
      </c>
      <c r="D128" s="163"/>
      <c r="E128" s="154">
        <v>0</v>
      </c>
      <c r="F128" s="117">
        <f>IF(E126&lt;6,"",((E126-6)/12)*(G126/E126))</f>
        <v>0</v>
      </c>
      <c r="G128" s="97">
        <f>F128</f>
        <v>0</v>
      </c>
      <c r="H128" s="164"/>
      <c r="I128" s="101" t="s">
        <v>518</v>
      </c>
      <c r="J128" s="101" t="str">
        <f>VLOOKUP(I128,Presupuesto!$B$11:$C$565,2,0)</f>
        <v>DECIMOCUARTO MES</v>
      </c>
      <c r="K128" s="98" t="str">
        <f t="shared" si="1"/>
        <v>Posgrado</v>
      </c>
      <c r="L128" s="98" t="s">
        <v>394</v>
      </c>
    </row>
    <row r="129" spans="3:12" ht="15.75" thickBot="1" x14ac:dyDescent="0.3">
      <c r="C129" s="140" t="s">
        <v>83</v>
      </c>
      <c r="D129" s="199"/>
      <c r="E129" s="152">
        <v>12</v>
      </c>
      <c r="F129" s="139">
        <v>30000</v>
      </c>
      <c r="G129" s="113">
        <f>D129*E129*F129</f>
        <v>0</v>
      </c>
      <c r="H129" s="166"/>
      <c r="I129" s="114" t="s">
        <v>563</v>
      </c>
      <c r="J129" s="114" t="str">
        <f>VLOOKUP(I129,Presupuesto!$B$11:$C$565,2,0)</f>
        <v>CONTRATOS ESPECIALES</v>
      </c>
      <c r="K129" s="98" t="str">
        <f t="shared" si="1"/>
        <v>Posgrado</v>
      </c>
      <c r="L129" s="98" t="s">
        <v>394</v>
      </c>
    </row>
    <row r="130" spans="3:12" x14ac:dyDescent="0.25">
      <c r="C130" s="171" t="s">
        <v>58</v>
      </c>
      <c r="D130" s="163"/>
      <c r="E130" s="154">
        <v>0</v>
      </c>
      <c r="F130" s="117">
        <f>IF(E129=0,"",(G129/E129)/12*E129)</f>
        <v>0</v>
      </c>
      <c r="G130" s="97">
        <f>F130</f>
        <v>0</v>
      </c>
      <c r="H130" s="164"/>
      <c r="I130" s="101" t="s">
        <v>563</v>
      </c>
      <c r="J130" s="101" t="str">
        <f>VLOOKUP(I130,Presupuesto!$B$11:$C$565,2,0)</f>
        <v>CONTRATOS ESPECIALES</v>
      </c>
      <c r="K130" s="98" t="str">
        <f t="shared" si="1"/>
        <v>Posgrado</v>
      </c>
      <c r="L130" s="98" t="s">
        <v>393</v>
      </c>
    </row>
    <row r="131" spans="3:12" ht="15.75" thickBot="1" x14ac:dyDescent="0.3">
      <c r="C131" s="172" t="s">
        <v>59</v>
      </c>
      <c r="D131" s="163"/>
      <c r="E131" s="154">
        <v>0</v>
      </c>
      <c r="F131" s="100">
        <f>IF(E129&lt;6,"",((E129-6)/12)*(G129/E129))</f>
        <v>0</v>
      </c>
      <c r="G131" s="97">
        <f>F131</f>
        <v>0</v>
      </c>
      <c r="H131" s="164"/>
      <c r="I131" s="101" t="s">
        <v>563</v>
      </c>
      <c r="J131" s="101" t="str">
        <f>VLOOKUP(I131,Presupuesto!$B$11:$C$565,2,0)</f>
        <v>CONTRATOS ESPECIALES</v>
      </c>
      <c r="K131" s="98" t="str">
        <f t="shared" si="1"/>
        <v>Posgrado</v>
      </c>
      <c r="L131" s="98" t="s">
        <v>398</v>
      </c>
    </row>
    <row r="132" spans="3:12" ht="15.75" thickBot="1" x14ac:dyDescent="0.3">
      <c r="C132" s="140" t="s">
        <v>60</v>
      </c>
      <c r="D132" s="199"/>
      <c r="E132" s="152">
        <v>12</v>
      </c>
      <c r="F132" s="118">
        <v>30000</v>
      </c>
      <c r="G132" s="113">
        <f>D132*E132*F132</f>
        <v>0</v>
      </c>
      <c r="H132" s="166"/>
      <c r="I132" s="114" t="s">
        <v>704</v>
      </c>
      <c r="J132" s="114" t="str">
        <f>VLOOKUP(I132,Presupuesto!$B$11:$C$565,2,0)</f>
        <v>OTROS SERVICIOS TECNICOS Y PROFESIONALES</v>
      </c>
      <c r="K132" s="98" t="str">
        <f t="shared" si="1"/>
        <v>Posgrado</v>
      </c>
      <c r="L132" s="98" t="s">
        <v>393</v>
      </c>
    </row>
    <row r="133" spans="3:12" x14ac:dyDescent="0.25">
      <c r="C133" s="171" t="s">
        <v>58</v>
      </c>
      <c r="D133" s="163"/>
      <c r="E133" s="154">
        <v>0</v>
      </c>
      <c r="F133" s="100">
        <v>0</v>
      </c>
      <c r="G133" s="97">
        <f>F133</f>
        <v>0</v>
      </c>
      <c r="H133" s="164"/>
      <c r="I133" s="101" t="s">
        <v>704</v>
      </c>
      <c r="J133" s="101" t="str">
        <f>VLOOKUP(I133,Presupuesto!$B$11:$C$565,2,0)</f>
        <v>OTROS SERVICIOS TECNICOS Y PROFESIONALES</v>
      </c>
      <c r="K133" s="98" t="str">
        <f t="shared" si="1"/>
        <v>Posgrado</v>
      </c>
      <c r="L133" s="98" t="s">
        <v>393</v>
      </c>
    </row>
    <row r="134" spans="3:12" ht="15.75" thickBot="1" x14ac:dyDescent="0.3">
      <c r="C134" s="172" t="s">
        <v>59</v>
      </c>
      <c r="D134" s="163"/>
      <c r="E134" s="154">
        <v>0</v>
      </c>
      <c r="F134" s="100">
        <v>0</v>
      </c>
      <c r="G134" s="97">
        <f>F134</f>
        <v>0</v>
      </c>
      <c r="H134" s="164"/>
      <c r="I134" s="101" t="s">
        <v>704</v>
      </c>
      <c r="J134" s="101" t="str">
        <f>VLOOKUP(I134,Presupuesto!$B$11:$C$565,2,0)</f>
        <v>OTROS SERVICIOS TECNICOS Y PROFESIONALES</v>
      </c>
      <c r="K134" s="98" t="str">
        <f t="shared" si="1"/>
        <v>Posgrado</v>
      </c>
      <c r="L134" s="98" t="s">
        <v>393</v>
      </c>
    </row>
    <row r="135" spans="3:12" ht="15.75" thickBot="1" x14ac:dyDescent="0.3">
      <c r="C135" s="140" t="s">
        <v>61</v>
      </c>
      <c r="D135" s="199"/>
      <c r="E135" s="152">
        <v>12</v>
      </c>
      <c r="F135" s="118">
        <v>30000</v>
      </c>
      <c r="G135" s="113">
        <f>D135*E135*F135</f>
        <v>0</v>
      </c>
      <c r="H135" s="166"/>
      <c r="I135" s="114" t="s">
        <v>495</v>
      </c>
      <c r="J135" s="114" t="str">
        <f>VLOOKUP(I135,Presupuesto!$B$11:$C$565,2,0)</f>
        <v>SUELDOS Y SALARIOS PERMANENTES</v>
      </c>
      <c r="K135" s="98" t="str">
        <f t="shared" si="1"/>
        <v>Posgrado</v>
      </c>
      <c r="L135" s="98" t="s">
        <v>393</v>
      </c>
    </row>
    <row r="136" spans="3:12" x14ac:dyDescent="0.25">
      <c r="C136" s="171" t="s">
        <v>58</v>
      </c>
      <c r="D136" s="169"/>
      <c r="E136" s="131">
        <v>0</v>
      </c>
      <c r="F136" s="119">
        <f>IF(E135=0,"",(G135/E135)/12*E135)</f>
        <v>0</v>
      </c>
      <c r="G136" s="120">
        <f>F136</f>
        <v>0</v>
      </c>
      <c r="H136" s="164"/>
      <c r="I136" s="101" t="s">
        <v>515</v>
      </c>
      <c r="J136" s="101" t="str">
        <f>VLOOKUP(I136,Presupuesto!$B$11:$C$565,2,0)</f>
        <v>AGUINALDO Y DECIMO CUARTO MES</v>
      </c>
      <c r="K136" s="98" t="str">
        <f t="shared" si="1"/>
        <v>Posgrado</v>
      </c>
      <c r="L136" s="98" t="s">
        <v>393</v>
      </c>
    </row>
    <row r="137" spans="3:12" ht="15.75" thickBot="1" x14ac:dyDescent="0.3">
      <c r="C137" s="173" t="s">
        <v>59</v>
      </c>
      <c r="D137" s="162"/>
      <c r="E137" s="132">
        <v>0</v>
      </c>
      <c r="F137" s="105">
        <f>IF(E135&lt;6,"",((E135-6)/12)*(G135/E135))</f>
        <v>0</v>
      </c>
      <c r="G137" s="105">
        <f>F137</f>
        <v>0</v>
      </c>
      <c r="H137" s="162"/>
      <c r="I137" s="106" t="s">
        <v>518</v>
      </c>
      <c r="J137" s="124" t="str">
        <f>VLOOKUP(I137,Presupuesto!$B$11:$C$565,2,0)</f>
        <v>DECIMOCUARTO MES</v>
      </c>
      <c r="K137" s="106" t="str">
        <f t="shared" si="1"/>
        <v>Posgrado</v>
      </c>
      <c r="L137" s="124" t="s">
        <v>393</v>
      </c>
    </row>
    <row r="139" spans="3:12" ht="15.75" thickBot="1" x14ac:dyDescent="0.3">
      <c r="K139" s="153"/>
    </row>
    <row r="140" spans="3:12" ht="15.75" thickBot="1" x14ac:dyDescent="0.3">
      <c r="C140" s="69" t="s">
        <v>43</v>
      </c>
      <c r="D140" s="30">
        <f>SUM(G147:G197)</f>
        <v>0</v>
      </c>
      <c r="E140" s="93"/>
      <c r="F140" s="93"/>
      <c r="G140" s="93"/>
      <c r="H140" s="76"/>
      <c r="I140" s="76"/>
      <c r="J140" s="76"/>
      <c r="K140" s="153"/>
    </row>
    <row r="141" spans="3:12" x14ac:dyDescent="0.25">
      <c r="D141" s="31"/>
      <c r="E141" s="93"/>
      <c r="F141" s="93"/>
      <c r="G141" s="93"/>
      <c r="H141" s="76"/>
      <c r="I141" s="76"/>
      <c r="J141" s="76"/>
      <c r="K141" s="153"/>
    </row>
    <row r="142" spans="3:12" x14ac:dyDescent="0.25">
      <c r="D142" s="31"/>
      <c r="E142" s="93"/>
      <c r="F142" s="93"/>
      <c r="G142" s="93"/>
      <c r="H142" s="76"/>
      <c r="I142" s="76"/>
      <c r="J142" s="76"/>
      <c r="K142" s="153"/>
    </row>
    <row r="143" spans="3:12" ht="15.75" x14ac:dyDescent="0.25">
      <c r="C143" s="202" t="s">
        <v>391</v>
      </c>
      <c r="D143" s="368"/>
      <c r="E143" s="93"/>
      <c r="F143" s="93"/>
      <c r="G143" s="93"/>
      <c r="H143" s="76"/>
      <c r="I143" s="76"/>
      <c r="J143" s="76"/>
      <c r="K143" s="153"/>
    </row>
    <row r="144" spans="3:12" ht="18.75" x14ac:dyDescent="0.25">
      <c r="C144" s="210" t="e">
        <f>IFERROR(VLOOKUP(D143,'1. Desarrollo e Innov. Curricu.'!$F:$G,2,FALSE),IFERROR(VLOOKUP(D143,'2. Investigación Científica'!$F:$G,2,FALSE),IFERROR(VLOOKUP(D143,'3. Vinculación Univ. Sociedad'!$F:$G,2,FALSE),IFERROR(VLOOKUP(D143,'4. Docencia y Profesorado Univ.'!$F:$G,2,FALSE),IFERROR(VLOOKUP(D143,'5. Estudiantes y Graduados'!$F:$G,2,FALSE),IFERROR(VLOOKUP(D143,'11. Gestion Administrativa'!$F:$G,2,FALSE),IFERROR(VLOOKUP(D143,'13. Gestión Académica'!$F:$G,2,FALSE),IFERROR(VLOOKUP(D143,'9. Asegura. de la Calid. y M'!$F:$G,2,FALSE),IFERROR(VLOOKUP(D143,'6. Gestión del Conocimiento'!$F:$G,2,FALSE),IFERROR(VLOOKUP(D143,'15. Gobernabilidad y Proceso...'!$F:$G,2,FALSE),IFERROR(VLOOKUP(D143,'12. Gestión del Talento Humano'!$F:$G,2,FALSE),IFERROR(VLOOKUP(D143,'14. Internacional... de la E.S.'!$F:$G,2,FALSE),IFERROR(VLOOKUP(D143,'10. Posgrado'!$F:$G,2,FALSE),IFERROR(VLOOKUP(D143,'17. Gestión TIC'!$F:$G,2,FALSE),IFERROR(VLOOKUP(D143,'16. Desa. del Sistema Educ.Sup.'!$F:$G,2,FALSE),IFERROR(VLOOKUP(D143,'8. Cultura de Inno. Insti...'!$F:$G,2,FALSE),VLOOKUP(D143,'7. Lo Esencial de la Reforma U.'!$F:$G,2,0)))))))))))))))))</f>
        <v>#N/A</v>
      </c>
      <c r="D144" s="31"/>
      <c r="E144" s="93"/>
      <c r="F144" s="93"/>
      <c r="G144" s="93"/>
      <c r="H144" s="76"/>
      <c r="I144" s="76"/>
      <c r="J144" s="76"/>
      <c r="K144" s="153"/>
    </row>
    <row r="145" spans="3:12" ht="15.75" thickBot="1" x14ac:dyDescent="0.3">
      <c r="C145" s="177"/>
      <c r="D145" s="31"/>
      <c r="E145" s="93"/>
      <c r="F145" s="93"/>
      <c r="G145" s="93"/>
      <c r="H145" s="76"/>
      <c r="I145" s="76"/>
      <c r="J145" s="76"/>
      <c r="K145" s="153"/>
    </row>
    <row r="146" spans="3:12" ht="30.75" thickBot="1" x14ac:dyDescent="0.3">
      <c r="C146" s="134" t="s">
        <v>44</v>
      </c>
      <c r="D146" s="138" t="s">
        <v>55</v>
      </c>
      <c r="E146" s="170" t="s">
        <v>56</v>
      </c>
      <c r="F146" s="138" t="s">
        <v>57</v>
      </c>
      <c r="G146" s="135" t="s">
        <v>27</v>
      </c>
      <c r="H146" s="133" t="s">
        <v>130</v>
      </c>
      <c r="I146" s="136" t="s">
        <v>46</v>
      </c>
      <c r="J146" s="136" t="s">
        <v>131</v>
      </c>
      <c r="K146" s="136" t="s">
        <v>409</v>
      </c>
      <c r="L146" s="136" t="s">
        <v>410</v>
      </c>
    </row>
    <row r="147" spans="3:12" ht="15.75" thickBot="1" x14ac:dyDescent="0.3">
      <c r="C147" s="137" t="s">
        <v>481</v>
      </c>
      <c r="D147" s="199"/>
      <c r="E147" s="152">
        <v>12</v>
      </c>
      <c r="F147" s="303">
        <f>HLOOKUP($C147,$BZ$2:$CM$3,2,0)</f>
        <v>43674.39</v>
      </c>
      <c r="G147" s="113">
        <f>D147*E147*F147</f>
        <v>0</v>
      </c>
      <c r="H147" s="166"/>
      <c r="I147" s="114" t="s">
        <v>495</v>
      </c>
      <c r="J147" s="114" t="str">
        <f>VLOOKUP(I147,Presupuesto!$B$11:$C$565,2,0)</f>
        <v>SUELDOS Y SALARIOS PERMANENTES</v>
      </c>
      <c r="K147" s="218" t="s">
        <v>1449</v>
      </c>
      <c r="L147" s="98" t="s">
        <v>393</v>
      </c>
    </row>
    <row r="148" spans="3:12" x14ac:dyDescent="0.25">
      <c r="C148" s="171" t="s">
        <v>58</v>
      </c>
      <c r="D148" s="163"/>
      <c r="E148" s="154">
        <v>0</v>
      </c>
      <c r="F148" s="100">
        <f>IF(E147=0,"",(G147/E147)/12*E147)</f>
        <v>0</v>
      </c>
      <c r="G148" s="97">
        <f>F148</f>
        <v>0</v>
      </c>
      <c r="H148" s="164"/>
      <c r="I148" s="116" t="s">
        <v>515</v>
      </c>
      <c r="J148" s="116" t="str">
        <f>VLOOKUP(I148,Presupuesto!$B$11:$C$565,2,0)</f>
        <v>AGUINALDO Y DECIMO CUARTO MES</v>
      </c>
      <c r="K148" s="98" t="str">
        <f t="shared" ref="K148:K179" si="2">$K$147</f>
        <v>Posgrado</v>
      </c>
      <c r="L148" s="98" t="s">
        <v>411</v>
      </c>
    </row>
    <row r="149" spans="3:12" ht="15.75" thickBot="1" x14ac:dyDescent="0.3">
      <c r="C149" s="172" t="s">
        <v>59</v>
      </c>
      <c r="D149" s="163"/>
      <c r="E149" s="154">
        <v>0</v>
      </c>
      <c r="F149" s="117">
        <f>IF(E147&lt;6,"",((E147-6)/12)*(G147/E147))</f>
        <v>0</v>
      </c>
      <c r="G149" s="97">
        <f>F149</f>
        <v>0</v>
      </c>
      <c r="H149" s="164"/>
      <c r="I149" s="101" t="s">
        <v>518</v>
      </c>
      <c r="J149" s="101" t="str">
        <f>VLOOKUP(I149,Presupuesto!$B$11:$C$565,2,0)</f>
        <v>DECIMOCUARTO MES</v>
      </c>
      <c r="K149" s="98" t="str">
        <f t="shared" si="2"/>
        <v>Posgrado</v>
      </c>
      <c r="L149" s="98" t="s">
        <v>394</v>
      </c>
    </row>
    <row r="150" spans="3:12" ht="15.75" thickBot="1" x14ac:dyDescent="0.3">
      <c r="C150" s="137" t="s">
        <v>482</v>
      </c>
      <c r="D150" s="199"/>
      <c r="E150" s="152">
        <v>12</v>
      </c>
      <c r="F150" s="303">
        <f>HLOOKUP($C150,$BZ$2:$CM$3,2,0)</f>
        <v>39703.99</v>
      </c>
      <c r="G150" s="113">
        <f>D150*E150*F150</f>
        <v>0</v>
      </c>
      <c r="H150" s="166"/>
      <c r="I150" s="114" t="s">
        <v>495</v>
      </c>
      <c r="J150" s="114" t="str">
        <f>VLOOKUP(I150,Presupuesto!$B$11:$C$565,2,0)</f>
        <v>SUELDOS Y SALARIOS PERMANENTES</v>
      </c>
      <c r="K150" s="98" t="str">
        <f t="shared" si="2"/>
        <v>Posgrado</v>
      </c>
      <c r="L150" s="98" t="s">
        <v>394</v>
      </c>
    </row>
    <row r="151" spans="3:12" x14ac:dyDescent="0.25">
      <c r="C151" s="171" t="s">
        <v>58</v>
      </c>
      <c r="D151" s="163"/>
      <c r="E151" s="154">
        <v>0</v>
      </c>
      <c r="F151" s="100">
        <f>IF(E150=0,"",(G150/E150)/12*E150)</f>
        <v>0</v>
      </c>
      <c r="G151" s="97">
        <f>F151</f>
        <v>0</v>
      </c>
      <c r="H151" s="164"/>
      <c r="I151" s="116" t="s">
        <v>515</v>
      </c>
      <c r="J151" s="116" t="str">
        <f>VLOOKUP(I151,Presupuesto!$B$11:$C$565,2,0)</f>
        <v>AGUINALDO Y DECIMO CUARTO MES</v>
      </c>
      <c r="K151" s="98" t="str">
        <f t="shared" si="2"/>
        <v>Posgrado</v>
      </c>
      <c r="L151" s="98" t="s">
        <v>394</v>
      </c>
    </row>
    <row r="152" spans="3:12" ht="15.75" thickBot="1" x14ac:dyDescent="0.3">
      <c r="C152" s="172" t="s">
        <v>59</v>
      </c>
      <c r="D152" s="163"/>
      <c r="E152" s="154">
        <v>0</v>
      </c>
      <c r="F152" s="117">
        <f>IF(E150&lt;6,"",((E150-6)/12)*(G150/E150))</f>
        <v>0</v>
      </c>
      <c r="G152" s="97">
        <f>F152</f>
        <v>0</v>
      </c>
      <c r="H152" s="164"/>
      <c r="I152" s="101" t="s">
        <v>518</v>
      </c>
      <c r="J152" s="101" t="str">
        <f>VLOOKUP(I152,Presupuesto!$B$11:$C$565,2,0)</f>
        <v>DECIMOCUARTO MES</v>
      </c>
      <c r="K152" s="98" t="str">
        <f t="shared" si="2"/>
        <v>Posgrado</v>
      </c>
      <c r="L152" s="98" t="s">
        <v>394</v>
      </c>
    </row>
    <row r="153" spans="3:12" ht="15.75" thickBot="1" x14ac:dyDescent="0.3">
      <c r="C153" s="137" t="s">
        <v>483</v>
      </c>
      <c r="D153" s="199"/>
      <c r="E153" s="152">
        <v>12</v>
      </c>
      <c r="F153" s="303">
        <f>HLOOKUP($C153,$BZ$2:$CM$3,2,0)</f>
        <v>35733.589999999997</v>
      </c>
      <c r="G153" s="113">
        <f>D153*E153*F153</f>
        <v>0</v>
      </c>
      <c r="H153" s="166"/>
      <c r="I153" s="114" t="s">
        <v>495</v>
      </c>
      <c r="J153" s="114" t="str">
        <f>VLOOKUP(I153,Presupuesto!$B$11:$C$565,2,0)</f>
        <v>SUELDOS Y SALARIOS PERMANENTES</v>
      </c>
      <c r="K153" s="98" t="str">
        <f t="shared" si="2"/>
        <v>Posgrado</v>
      </c>
      <c r="L153" s="98" t="s">
        <v>394</v>
      </c>
    </row>
    <row r="154" spans="3:12" x14ac:dyDescent="0.25">
      <c r="C154" s="171" t="s">
        <v>58</v>
      </c>
      <c r="D154" s="163"/>
      <c r="E154" s="154">
        <v>0</v>
      </c>
      <c r="F154" s="100">
        <f>IF(E153=0,"",(G153/E153)/12*E153)</f>
        <v>0</v>
      </c>
      <c r="G154" s="97">
        <f>F154</f>
        <v>0</v>
      </c>
      <c r="H154" s="164"/>
      <c r="I154" s="116" t="s">
        <v>515</v>
      </c>
      <c r="J154" s="116" t="str">
        <f>VLOOKUP(I154,Presupuesto!$B$11:$C$565,2,0)</f>
        <v>AGUINALDO Y DECIMO CUARTO MES</v>
      </c>
      <c r="K154" s="98" t="str">
        <f t="shared" si="2"/>
        <v>Posgrado</v>
      </c>
      <c r="L154" s="98" t="s">
        <v>394</v>
      </c>
    </row>
    <row r="155" spans="3:12" ht="15.75" thickBot="1" x14ac:dyDescent="0.3">
      <c r="C155" s="172" t="s">
        <v>59</v>
      </c>
      <c r="D155" s="163"/>
      <c r="E155" s="154">
        <v>0</v>
      </c>
      <c r="F155" s="117">
        <f>IF(E153&lt;6,"",((E153-6)/12)*(G153/E153))</f>
        <v>0</v>
      </c>
      <c r="G155" s="97">
        <f>F155</f>
        <v>0</v>
      </c>
      <c r="H155" s="164"/>
      <c r="I155" s="101" t="s">
        <v>518</v>
      </c>
      <c r="J155" s="101" t="str">
        <f>VLOOKUP(I155,Presupuesto!$B$11:$C$565,2,0)</f>
        <v>DECIMOCUARTO MES</v>
      </c>
      <c r="K155" s="98" t="str">
        <f t="shared" si="2"/>
        <v>Posgrado</v>
      </c>
      <c r="L155" s="98" t="s">
        <v>394</v>
      </c>
    </row>
    <row r="156" spans="3:12" ht="15.75" thickBot="1" x14ac:dyDescent="0.3">
      <c r="C156" s="137" t="s">
        <v>484</v>
      </c>
      <c r="D156" s="199"/>
      <c r="E156" s="152">
        <v>12</v>
      </c>
      <c r="F156" s="303">
        <f>HLOOKUP($C156,$BZ$2:$CM$3,2,0)</f>
        <v>31763.19</v>
      </c>
      <c r="G156" s="113">
        <f>D156*E156*F156</f>
        <v>0</v>
      </c>
      <c r="H156" s="166"/>
      <c r="I156" s="114" t="s">
        <v>495</v>
      </c>
      <c r="J156" s="114" t="str">
        <f>VLOOKUP(I156,Presupuesto!$B$11:$C$565,2,0)</f>
        <v>SUELDOS Y SALARIOS PERMANENTES</v>
      </c>
      <c r="K156" s="98" t="str">
        <f t="shared" si="2"/>
        <v>Posgrado</v>
      </c>
      <c r="L156" s="98" t="s">
        <v>394</v>
      </c>
    </row>
    <row r="157" spans="3:12" x14ac:dyDescent="0.25">
      <c r="C157" s="171" t="s">
        <v>58</v>
      </c>
      <c r="D157" s="163"/>
      <c r="E157" s="154">
        <v>0</v>
      </c>
      <c r="F157" s="100">
        <f>IF(E156=0,"",(G156/E156)/12*E156)</f>
        <v>0</v>
      </c>
      <c r="G157" s="97">
        <f>F157</f>
        <v>0</v>
      </c>
      <c r="H157" s="164"/>
      <c r="I157" s="116" t="s">
        <v>515</v>
      </c>
      <c r="J157" s="116" t="str">
        <f>VLOOKUP(I157,Presupuesto!$B$11:$C$565,2,0)</f>
        <v>AGUINALDO Y DECIMO CUARTO MES</v>
      </c>
      <c r="K157" s="98" t="str">
        <f t="shared" si="2"/>
        <v>Posgrado</v>
      </c>
      <c r="L157" s="98" t="s">
        <v>394</v>
      </c>
    </row>
    <row r="158" spans="3:12" ht="15.75" thickBot="1" x14ac:dyDescent="0.3">
      <c r="C158" s="172" t="s">
        <v>59</v>
      </c>
      <c r="D158" s="163"/>
      <c r="E158" s="154">
        <v>0</v>
      </c>
      <c r="F158" s="117">
        <f>IF(E156&lt;6,"",((E156-6)/12)*(G156/E156))</f>
        <v>0</v>
      </c>
      <c r="G158" s="97">
        <f>F158</f>
        <v>0</v>
      </c>
      <c r="H158" s="164"/>
      <c r="I158" s="101" t="s">
        <v>518</v>
      </c>
      <c r="J158" s="101" t="str">
        <f>VLOOKUP(I158,Presupuesto!$B$11:$C$565,2,0)</f>
        <v>DECIMOCUARTO MES</v>
      </c>
      <c r="K158" s="98" t="str">
        <f t="shared" si="2"/>
        <v>Posgrado</v>
      </c>
      <c r="L158" s="98" t="s">
        <v>394</v>
      </c>
    </row>
    <row r="159" spans="3:12" ht="15.75" thickBot="1" x14ac:dyDescent="0.3">
      <c r="C159" s="137" t="s">
        <v>485</v>
      </c>
      <c r="D159" s="199"/>
      <c r="E159" s="152">
        <v>12</v>
      </c>
      <c r="F159" s="303">
        <f>HLOOKUP($C159,$BZ$2:$CM$3,2,0)</f>
        <v>29777.99</v>
      </c>
      <c r="G159" s="113">
        <f>D159*E159*F159</f>
        <v>0</v>
      </c>
      <c r="H159" s="166"/>
      <c r="I159" s="114" t="s">
        <v>495</v>
      </c>
      <c r="J159" s="114" t="str">
        <f>VLOOKUP(I159,Presupuesto!$B$11:$C$565,2,0)</f>
        <v>SUELDOS Y SALARIOS PERMANENTES</v>
      </c>
      <c r="K159" s="98" t="str">
        <f t="shared" si="2"/>
        <v>Posgrado</v>
      </c>
      <c r="L159" s="98" t="s">
        <v>394</v>
      </c>
    </row>
    <row r="160" spans="3:12" x14ac:dyDescent="0.25">
      <c r="C160" s="171" t="s">
        <v>58</v>
      </c>
      <c r="D160" s="163"/>
      <c r="E160" s="154">
        <v>0</v>
      </c>
      <c r="F160" s="100">
        <f>IF(E159=0,"",(G159/E159)/12*E159)</f>
        <v>0</v>
      </c>
      <c r="G160" s="97">
        <f>F160</f>
        <v>0</v>
      </c>
      <c r="H160" s="164"/>
      <c r="I160" s="116" t="s">
        <v>515</v>
      </c>
      <c r="J160" s="116" t="str">
        <f>VLOOKUP(I160,Presupuesto!$B$11:$C$565,2,0)</f>
        <v>AGUINALDO Y DECIMO CUARTO MES</v>
      </c>
      <c r="K160" s="98" t="str">
        <f t="shared" si="2"/>
        <v>Posgrado</v>
      </c>
      <c r="L160" s="98" t="s">
        <v>394</v>
      </c>
    </row>
    <row r="161" spans="3:12" ht="15.75" thickBot="1" x14ac:dyDescent="0.3">
      <c r="C161" s="172" t="s">
        <v>59</v>
      </c>
      <c r="D161" s="163"/>
      <c r="E161" s="154">
        <v>0</v>
      </c>
      <c r="F161" s="117">
        <f>IF(E159&lt;6,"",((E159-6)/12)*(G159/E159))</f>
        <v>0</v>
      </c>
      <c r="G161" s="97">
        <f>F161</f>
        <v>0</v>
      </c>
      <c r="H161" s="164"/>
      <c r="I161" s="101" t="s">
        <v>518</v>
      </c>
      <c r="J161" s="101" t="str">
        <f>VLOOKUP(I161,Presupuesto!$B$11:$C$565,2,0)</f>
        <v>DECIMOCUARTO MES</v>
      </c>
      <c r="K161" s="98" t="str">
        <f t="shared" si="2"/>
        <v>Posgrado</v>
      </c>
      <c r="L161" s="98" t="s">
        <v>394</v>
      </c>
    </row>
    <row r="162" spans="3:12" ht="15.75" thickBot="1" x14ac:dyDescent="0.3">
      <c r="C162" s="137" t="s">
        <v>486</v>
      </c>
      <c r="D162" s="199"/>
      <c r="E162" s="152">
        <v>12</v>
      </c>
      <c r="F162" s="303">
        <f>HLOOKUP($C162,$BZ$2:$CM$3,2,0)</f>
        <v>27792.79</v>
      </c>
      <c r="G162" s="113">
        <f>D162*E162*F162</f>
        <v>0</v>
      </c>
      <c r="H162" s="166"/>
      <c r="I162" s="114" t="s">
        <v>495</v>
      </c>
      <c r="J162" s="114" t="str">
        <f>VLOOKUP(I162,Presupuesto!$B$11:$C$565,2,0)</f>
        <v>SUELDOS Y SALARIOS PERMANENTES</v>
      </c>
      <c r="K162" s="98" t="str">
        <f t="shared" si="2"/>
        <v>Posgrado</v>
      </c>
      <c r="L162" s="98" t="s">
        <v>394</v>
      </c>
    </row>
    <row r="163" spans="3:12" x14ac:dyDescent="0.25">
      <c r="C163" s="171" t="s">
        <v>58</v>
      </c>
      <c r="D163" s="163"/>
      <c r="E163" s="154">
        <v>0</v>
      </c>
      <c r="F163" s="100">
        <f>IF(E162=0,"",(G162/E162)/12*E162)</f>
        <v>0</v>
      </c>
      <c r="G163" s="97">
        <f>F163</f>
        <v>0</v>
      </c>
      <c r="H163" s="164"/>
      <c r="I163" s="116" t="s">
        <v>515</v>
      </c>
      <c r="J163" s="116" t="str">
        <f>VLOOKUP(I163,Presupuesto!$B$11:$C$565,2,0)</f>
        <v>AGUINALDO Y DECIMO CUARTO MES</v>
      </c>
      <c r="K163" s="98" t="str">
        <f t="shared" si="2"/>
        <v>Posgrado</v>
      </c>
      <c r="L163" s="98" t="s">
        <v>394</v>
      </c>
    </row>
    <row r="164" spans="3:12" ht="15.75" thickBot="1" x14ac:dyDescent="0.3">
      <c r="C164" s="172" t="s">
        <v>59</v>
      </c>
      <c r="D164" s="163"/>
      <c r="E164" s="154">
        <v>0</v>
      </c>
      <c r="F164" s="117">
        <f>IF(E162&lt;6,"",((E162-6)/12)*(G162/E162))</f>
        <v>0</v>
      </c>
      <c r="G164" s="97">
        <f>F164</f>
        <v>0</v>
      </c>
      <c r="H164" s="164"/>
      <c r="I164" s="101" t="s">
        <v>518</v>
      </c>
      <c r="J164" s="101" t="str">
        <f>VLOOKUP(I164,Presupuesto!$B$11:$C$565,2,0)</f>
        <v>DECIMOCUARTO MES</v>
      </c>
      <c r="K164" s="98" t="str">
        <f t="shared" si="2"/>
        <v>Posgrado</v>
      </c>
      <c r="L164" s="98" t="s">
        <v>394</v>
      </c>
    </row>
    <row r="165" spans="3:12" ht="15.75" thickBot="1" x14ac:dyDescent="0.3">
      <c r="C165" s="137" t="s">
        <v>487</v>
      </c>
      <c r="D165" s="199"/>
      <c r="E165" s="152">
        <v>12</v>
      </c>
      <c r="F165" s="303">
        <f>HLOOKUP($C165,$BZ$2:$CM$3,2,0)</f>
        <v>18859.39</v>
      </c>
      <c r="G165" s="113">
        <f>D165*E165*F165</f>
        <v>0</v>
      </c>
      <c r="H165" s="166"/>
      <c r="I165" s="114" t="s">
        <v>495</v>
      </c>
      <c r="J165" s="114" t="str">
        <f>VLOOKUP(I165,Presupuesto!$B$11:$C$565,2,0)</f>
        <v>SUELDOS Y SALARIOS PERMANENTES</v>
      </c>
      <c r="K165" s="98" t="str">
        <f t="shared" si="2"/>
        <v>Posgrado</v>
      </c>
      <c r="L165" s="98" t="s">
        <v>394</v>
      </c>
    </row>
    <row r="166" spans="3:12" x14ac:dyDescent="0.25">
      <c r="C166" s="171" t="s">
        <v>58</v>
      </c>
      <c r="D166" s="163"/>
      <c r="E166" s="154">
        <v>0</v>
      </c>
      <c r="F166" s="100">
        <f>IF(E165=0,"",(G165/E165)/12*E165)</f>
        <v>0</v>
      </c>
      <c r="G166" s="97">
        <f>F166</f>
        <v>0</v>
      </c>
      <c r="H166" s="164"/>
      <c r="I166" s="116" t="s">
        <v>515</v>
      </c>
      <c r="J166" s="116" t="str">
        <f>VLOOKUP(I166,Presupuesto!$B$11:$C$565,2,0)</f>
        <v>AGUINALDO Y DECIMO CUARTO MES</v>
      </c>
      <c r="K166" s="98" t="str">
        <f t="shared" si="2"/>
        <v>Posgrado</v>
      </c>
      <c r="L166" s="98" t="s">
        <v>394</v>
      </c>
    </row>
    <row r="167" spans="3:12" ht="15.75" thickBot="1" x14ac:dyDescent="0.3">
      <c r="C167" s="172" t="s">
        <v>59</v>
      </c>
      <c r="D167" s="163"/>
      <c r="E167" s="154">
        <v>0</v>
      </c>
      <c r="F167" s="117">
        <f>IF(E165&lt;6,"",((E165-6)/12)*(G165/E165))</f>
        <v>0</v>
      </c>
      <c r="G167" s="97">
        <f>F167</f>
        <v>0</v>
      </c>
      <c r="H167" s="164"/>
      <c r="I167" s="101" t="s">
        <v>518</v>
      </c>
      <c r="J167" s="101" t="str">
        <f>VLOOKUP(I167,Presupuesto!$B$11:$C$565,2,0)</f>
        <v>DECIMOCUARTO MES</v>
      </c>
      <c r="K167" s="98" t="str">
        <f t="shared" si="2"/>
        <v>Posgrado</v>
      </c>
      <c r="L167" s="98" t="s">
        <v>394</v>
      </c>
    </row>
    <row r="168" spans="3:12" ht="15.75" thickBot="1" x14ac:dyDescent="0.3">
      <c r="C168" s="137" t="s">
        <v>488</v>
      </c>
      <c r="D168" s="199"/>
      <c r="E168" s="152">
        <v>12</v>
      </c>
      <c r="F168" s="303">
        <f>HLOOKUP($C168,$BZ$2:$CM$3,2,0)</f>
        <v>17866.8</v>
      </c>
      <c r="G168" s="113">
        <f>D168*E168*F168</f>
        <v>0</v>
      </c>
      <c r="H168" s="166"/>
      <c r="I168" s="114" t="s">
        <v>495</v>
      </c>
      <c r="J168" s="114" t="str">
        <f>VLOOKUP(I168,Presupuesto!$B$11:$C$565,2,0)</f>
        <v>SUELDOS Y SALARIOS PERMANENTES</v>
      </c>
      <c r="K168" s="98" t="str">
        <f t="shared" si="2"/>
        <v>Posgrado</v>
      </c>
      <c r="L168" s="98" t="s">
        <v>394</v>
      </c>
    </row>
    <row r="169" spans="3:12" x14ac:dyDescent="0.25">
      <c r="C169" s="171" t="s">
        <v>58</v>
      </c>
      <c r="D169" s="163"/>
      <c r="E169" s="154">
        <v>0</v>
      </c>
      <c r="F169" s="100">
        <f>IF(E168=0,"",(G168/E168)/12*E168)</f>
        <v>0</v>
      </c>
      <c r="G169" s="97">
        <f>F169</f>
        <v>0</v>
      </c>
      <c r="H169" s="164"/>
      <c r="I169" s="116" t="s">
        <v>515</v>
      </c>
      <c r="J169" s="116" t="str">
        <f>VLOOKUP(I169,Presupuesto!$B$11:$C$565,2,0)</f>
        <v>AGUINALDO Y DECIMO CUARTO MES</v>
      </c>
      <c r="K169" s="98" t="str">
        <f t="shared" si="2"/>
        <v>Posgrado</v>
      </c>
      <c r="L169" s="98" t="s">
        <v>394</v>
      </c>
    </row>
    <row r="170" spans="3:12" ht="15.75" thickBot="1" x14ac:dyDescent="0.3">
      <c r="C170" s="172" t="s">
        <v>59</v>
      </c>
      <c r="D170" s="163"/>
      <c r="E170" s="154">
        <v>0</v>
      </c>
      <c r="F170" s="117">
        <f>IF(E168&lt;6,"",((E168-6)/12)*(G168/E168))</f>
        <v>0</v>
      </c>
      <c r="G170" s="97">
        <f>F170</f>
        <v>0</v>
      </c>
      <c r="H170" s="164"/>
      <c r="I170" s="101" t="s">
        <v>518</v>
      </c>
      <c r="J170" s="101" t="str">
        <f>VLOOKUP(I170,Presupuesto!$B$11:$C$565,2,0)</f>
        <v>DECIMOCUARTO MES</v>
      </c>
      <c r="K170" s="98" t="str">
        <f t="shared" si="2"/>
        <v>Posgrado</v>
      </c>
      <c r="L170" s="98" t="s">
        <v>394</v>
      </c>
    </row>
    <row r="171" spans="3:12" ht="15.75" thickBot="1" x14ac:dyDescent="0.3">
      <c r="C171" s="137" t="s">
        <v>489</v>
      </c>
      <c r="D171" s="199"/>
      <c r="E171" s="152">
        <v>12</v>
      </c>
      <c r="F171" s="303">
        <f>HLOOKUP($C171,$BZ$2:$CM$3,2,0)</f>
        <v>13896.4</v>
      </c>
      <c r="G171" s="113">
        <f>D171*E171*F171</f>
        <v>0</v>
      </c>
      <c r="H171" s="166"/>
      <c r="I171" s="114" t="s">
        <v>495</v>
      </c>
      <c r="J171" s="114" t="str">
        <f>VLOOKUP(I171,Presupuesto!$B$11:$C$565,2,0)</f>
        <v>SUELDOS Y SALARIOS PERMANENTES</v>
      </c>
      <c r="K171" s="98" t="str">
        <f t="shared" si="2"/>
        <v>Posgrado</v>
      </c>
      <c r="L171" s="98" t="s">
        <v>394</v>
      </c>
    </row>
    <row r="172" spans="3:12" x14ac:dyDescent="0.25">
      <c r="C172" s="171" t="s">
        <v>58</v>
      </c>
      <c r="D172" s="163"/>
      <c r="E172" s="154">
        <v>0</v>
      </c>
      <c r="F172" s="100">
        <f>IF(E171=0,"",(G171/E171)/12*E171)</f>
        <v>0</v>
      </c>
      <c r="G172" s="97">
        <f>F172</f>
        <v>0</v>
      </c>
      <c r="H172" s="164"/>
      <c r="I172" s="116" t="s">
        <v>515</v>
      </c>
      <c r="J172" s="116" t="str">
        <f>VLOOKUP(I172,Presupuesto!$B$11:$C$565,2,0)</f>
        <v>AGUINALDO Y DECIMO CUARTO MES</v>
      </c>
      <c r="K172" s="98" t="str">
        <f t="shared" si="2"/>
        <v>Posgrado</v>
      </c>
      <c r="L172" s="98" t="s">
        <v>394</v>
      </c>
    </row>
    <row r="173" spans="3:12" ht="15.75" thickBot="1" x14ac:dyDescent="0.3">
      <c r="C173" s="172" t="s">
        <v>59</v>
      </c>
      <c r="D173" s="163"/>
      <c r="E173" s="154">
        <v>0</v>
      </c>
      <c r="F173" s="117">
        <f>IF(E171&lt;6,"",((E171-6)/12)*(G171/E171))</f>
        <v>0</v>
      </c>
      <c r="G173" s="97">
        <f>F173</f>
        <v>0</v>
      </c>
      <c r="H173" s="164"/>
      <c r="I173" s="101" t="s">
        <v>518</v>
      </c>
      <c r="J173" s="101" t="str">
        <f>VLOOKUP(I173,Presupuesto!$B$11:$C$565,2,0)</f>
        <v>DECIMOCUARTO MES</v>
      </c>
      <c r="K173" s="98" t="str">
        <f t="shared" si="2"/>
        <v>Posgrado</v>
      </c>
      <c r="L173" s="98" t="s">
        <v>394</v>
      </c>
    </row>
    <row r="174" spans="3:12" ht="15.75" thickBot="1" x14ac:dyDescent="0.3">
      <c r="C174" s="137" t="s">
        <v>490</v>
      </c>
      <c r="D174" s="199"/>
      <c r="E174" s="152">
        <v>12</v>
      </c>
      <c r="F174" s="303">
        <f>HLOOKUP($C174,$BZ$2:$CM$3,2,0)</f>
        <v>15004.09</v>
      </c>
      <c r="G174" s="113">
        <f>D174*E174*F174</f>
        <v>0</v>
      </c>
      <c r="H174" s="166"/>
      <c r="I174" s="114" t="s">
        <v>495</v>
      </c>
      <c r="J174" s="114" t="str">
        <f>VLOOKUP(I174,Presupuesto!$B$11:$C$565,2,0)</f>
        <v>SUELDOS Y SALARIOS PERMANENTES</v>
      </c>
      <c r="K174" s="98" t="str">
        <f t="shared" si="2"/>
        <v>Posgrado</v>
      </c>
      <c r="L174" s="98" t="s">
        <v>394</v>
      </c>
    </row>
    <row r="175" spans="3:12" x14ac:dyDescent="0.25">
      <c r="C175" s="171" t="s">
        <v>58</v>
      </c>
      <c r="D175" s="163"/>
      <c r="E175" s="154">
        <v>0</v>
      </c>
      <c r="F175" s="100">
        <f>IF(E174=0,"",(G174/E174)/12*E174)</f>
        <v>0</v>
      </c>
      <c r="G175" s="97">
        <f>F175</f>
        <v>0</v>
      </c>
      <c r="H175" s="164"/>
      <c r="I175" s="116" t="s">
        <v>515</v>
      </c>
      <c r="J175" s="116" t="str">
        <f>VLOOKUP(I175,Presupuesto!$B$11:$C$565,2,0)</f>
        <v>AGUINALDO Y DECIMO CUARTO MES</v>
      </c>
      <c r="K175" s="98" t="str">
        <f t="shared" si="2"/>
        <v>Posgrado</v>
      </c>
      <c r="L175" s="98" t="s">
        <v>394</v>
      </c>
    </row>
    <row r="176" spans="3:12" ht="15.75" thickBot="1" x14ac:dyDescent="0.3">
      <c r="C176" s="172" t="s">
        <v>59</v>
      </c>
      <c r="D176" s="163"/>
      <c r="E176" s="154">
        <v>0</v>
      </c>
      <c r="F176" s="117">
        <f>IF(E174&lt;6,"",((E174-6)/12)*(G174/E174))</f>
        <v>0</v>
      </c>
      <c r="G176" s="97">
        <f>F176</f>
        <v>0</v>
      </c>
      <c r="H176" s="164"/>
      <c r="I176" s="101" t="s">
        <v>518</v>
      </c>
      <c r="J176" s="101" t="str">
        <f>VLOOKUP(I176,Presupuesto!$B$11:$C$565,2,0)</f>
        <v>DECIMOCUARTO MES</v>
      </c>
      <c r="K176" s="98" t="str">
        <f t="shared" si="2"/>
        <v>Posgrado</v>
      </c>
      <c r="L176" s="98" t="s">
        <v>394</v>
      </c>
    </row>
    <row r="177" spans="3:12" ht="15.75" thickBot="1" x14ac:dyDescent="0.3">
      <c r="C177" s="137" t="s">
        <v>491</v>
      </c>
      <c r="D177" s="199"/>
      <c r="E177" s="152">
        <v>12</v>
      </c>
      <c r="F177" s="303">
        <f>HLOOKUP($C177,$BZ$2:$CM$3,2,0)</f>
        <v>13238.9</v>
      </c>
      <c r="G177" s="113">
        <f>D177*E177*F177</f>
        <v>0</v>
      </c>
      <c r="H177" s="166"/>
      <c r="I177" s="114" t="s">
        <v>495</v>
      </c>
      <c r="J177" s="114" t="str">
        <f>VLOOKUP(I177,Presupuesto!$B$11:$C$565,2,0)</f>
        <v>SUELDOS Y SALARIOS PERMANENTES</v>
      </c>
      <c r="K177" s="98" t="str">
        <f t="shared" si="2"/>
        <v>Posgrado</v>
      </c>
      <c r="L177" s="98" t="s">
        <v>394</v>
      </c>
    </row>
    <row r="178" spans="3:12" x14ac:dyDescent="0.25">
      <c r="C178" s="171" t="s">
        <v>58</v>
      </c>
      <c r="D178" s="163"/>
      <c r="E178" s="154">
        <v>0</v>
      </c>
      <c r="F178" s="100">
        <f>IF(E177=0,"",(G177/E177)/12*E177)</f>
        <v>0</v>
      </c>
      <c r="G178" s="97">
        <f>F178</f>
        <v>0</v>
      </c>
      <c r="H178" s="164"/>
      <c r="I178" s="116" t="s">
        <v>515</v>
      </c>
      <c r="J178" s="116" t="str">
        <f>VLOOKUP(I178,Presupuesto!$B$11:$C$565,2,0)</f>
        <v>AGUINALDO Y DECIMO CUARTO MES</v>
      </c>
      <c r="K178" s="98" t="str">
        <f t="shared" si="2"/>
        <v>Posgrado</v>
      </c>
      <c r="L178" s="98" t="s">
        <v>394</v>
      </c>
    </row>
    <row r="179" spans="3:12" ht="15.75" thickBot="1" x14ac:dyDescent="0.3">
      <c r="C179" s="172" t="s">
        <v>59</v>
      </c>
      <c r="D179" s="163"/>
      <c r="E179" s="154">
        <v>0</v>
      </c>
      <c r="F179" s="117">
        <f>IF(E177&lt;6,"",((E177-6)/12)*(G177/E177))</f>
        <v>0</v>
      </c>
      <c r="G179" s="97">
        <f>F179</f>
        <v>0</v>
      </c>
      <c r="H179" s="164"/>
      <c r="I179" s="101" t="s">
        <v>518</v>
      </c>
      <c r="J179" s="101" t="str">
        <f>VLOOKUP(I179,Presupuesto!$B$11:$C$565,2,0)</f>
        <v>DECIMOCUARTO MES</v>
      </c>
      <c r="K179" s="98" t="str">
        <f t="shared" si="2"/>
        <v>Posgrado</v>
      </c>
      <c r="L179" s="98" t="s">
        <v>394</v>
      </c>
    </row>
    <row r="180" spans="3:12" ht="15.75" thickBot="1" x14ac:dyDescent="0.3">
      <c r="C180" s="137" t="s">
        <v>492</v>
      </c>
      <c r="D180" s="199"/>
      <c r="E180" s="152">
        <v>12</v>
      </c>
      <c r="F180" s="303">
        <f>HLOOKUP($C180,$BZ$2:$CM$3,2,0)</f>
        <v>12356.31</v>
      </c>
      <c r="G180" s="113">
        <f>D180*E180*F180</f>
        <v>0</v>
      </c>
      <c r="H180" s="166"/>
      <c r="I180" s="114" t="s">
        <v>495</v>
      </c>
      <c r="J180" s="114" t="str">
        <f>VLOOKUP(I180,Presupuesto!$B$11:$C$565,2,0)</f>
        <v>SUELDOS Y SALARIOS PERMANENTES</v>
      </c>
      <c r="K180" s="98" t="str">
        <f t="shared" ref="K180:K197" si="3">$K$147</f>
        <v>Posgrado</v>
      </c>
      <c r="L180" s="98" t="s">
        <v>394</v>
      </c>
    </row>
    <row r="181" spans="3:12" x14ac:dyDescent="0.25">
      <c r="C181" s="171" t="s">
        <v>58</v>
      </c>
      <c r="D181" s="163"/>
      <c r="E181" s="154">
        <v>0</v>
      </c>
      <c r="F181" s="100">
        <f>IF(E180=0,"",(G180/E180)/12*E180)</f>
        <v>0</v>
      </c>
      <c r="G181" s="97">
        <f>F181</f>
        <v>0</v>
      </c>
      <c r="H181" s="164"/>
      <c r="I181" s="116" t="s">
        <v>515</v>
      </c>
      <c r="J181" s="116" t="str">
        <f>VLOOKUP(I181,Presupuesto!$B$11:$C$565,2,0)</f>
        <v>AGUINALDO Y DECIMO CUARTO MES</v>
      </c>
      <c r="K181" s="98" t="str">
        <f t="shared" si="3"/>
        <v>Posgrado</v>
      </c>
      <c r="L181" s="98" t="s">
        <v>394</v>
      </c>
    </row>
    <row r="182" spans="3:12" ht="15.75" thickBot="1" x14ac:dyDescent="0.3">
      <c r="C182" s="172" t="s">
        <v>59</v>
      </c>
      <c r="D182" s="163"/>
      <c r="E182" s="154">
        <v>0</v>
      </c>
      <c r="F182" s="117">
        <f>IF(E180&lt;6,"",((E180-6)/12)*(G180/E180))</f>
        <v>0</v>
      </c>
      <c r="G182" s="97">
        <f>F182</f>
        <v>0</v>
      </c>
      <c r="H182" s="164"/>
      <c r="I182" s="101" t="s">
        <v>518</v>
      </c>
      <c r="J182" s="101" t="str">
        <f>VLOOKUP(I182,Presupuesto!$B$11:$C$565,2,0)</f>
        <v>DECIMOCUARTO MES</v>
      </c>
      <c r="K182" s="98" t="str">
        <f t="shared" si="3"/>
        <v>Posgrado</v>
      </c>
      <c r="L182" s="98" t="s">
        <v>394</v>
      </c>
    </row>
    <row r="183" spans="3:12" ht="15.75" thickBot="1" x14ac:dyDescent="0.3">
      <c r="C183" s="137" t="s">
        <v>493</v>
      </c>
      <c r="D183" s="199"/>
      <c r="E183" s="152">
        <v>12</v>
      </c>
      <c r="F183" s="303">
        <f>HLOOKUP($C183,$BZ$2:$CM$3,2,0)</f>
        <v>463.22</v>
      </c>
      <c r="G183" s="113">
        <f>D183*E183*F183</f>
        <v>0</v>
      </c>
      <c r="H183" s="166"/>
      <c r="I183" s="114" t="s">
        <v>495</v>
      </c>
      <c r="J183" s="114" t="str">
        <f>VLOOKUP(I183,Presupuesto!$B$11:$C$565,2,0)</f>
        <v>SUELDOS Y SALARIOS PERMANENTES</v>
      </c>
      <c r="K183" s="98" t="str">
        <f t="shared" si="3"/>
        <v>Posgrado</v>
      </c>
      <c r="L183" s="98" t="s">
        <v>394</v>
      </c>
    </row>
    <row r="184" spans="3:12" x14ac:dyDescent="0.25">
      <c r="C184" s="171" t="s">
        <v>58</v>
      </c>
      <c r="D184" s="163"/>
      <c r="E184" s="154">
        <v>0</v>
      </c>
      <c r="F184" s="100">
        <f>IF(E183=0,"",(G183/E183)/12*E183)</f>
        <v>0</v>
      </c>
      <c r="G184" s="97">
        <f>F184</f>
        <v>0</v>
      </c>
      <c r="H184" s="164"/>
      <c r="I184" s="116" t="s">
        <v>515</v>
      </c>
      <c r="J184" s="116" t="str">
        <f>VLOOKUP(I184,Presupuesto!$B$11:$C$565,2,0)</f>
        <v>AGUINALDO Y DECIMO CUARTO MES</v>
      </c>
      <c r="K184" s="98" t="str">
        <f t="shared" si="3"/>
        <v>Posgrado</v>
      </c>
      <c r="L184" s="98" t="s">
        <v>394</v>
      </c>
    </row>
    <row r="185" spans="3:12" ht="15.75" thickBot="1" x14ac:dyDescent="0.3">
      <c r="C185" s="172" t="s">
        <v>59</v>
      </c>
      <c r="D185" s="163"/>
      <c r="E185" s="154">
        <v>0</v>
      </c>
      <c r="F185" s="117">
        <f>IF(E183&lt;6,"",((E183-6)/12)*(G183/E183))</f>
        <v>0</v>
      </c>
      <c r="G185" s="97">
        <f>F185</f>
        <v>0</v>
      </c>
      <c r="H185" s="164"/>
      <c r="I185" s="101" t="s">
        <v>518</v>
      </c>
      <c r="J185" s="101" t="str">
        <f>VLOOKUP(I185,Presupuesto!$B$11:$C$565,2,0)</f>
        <v>DECIMOCUARTO MES</v>
      </c>
      <c r="K185" s="98" t="str">
        <f t="shared" si="3"/>
        <v>Posgrado</v>
      </c>
      <c r="L185" s="98" t="s">
        <v>394</v>
      </c>
    </row>
    <row r="186" spans="3:12" ht="15.75" thickBot="1" x14ac:dyDescent="0.3">
      <c r="C186" s="137" t="s">
        <v>494</v>
      </c>
      <c r="D186" s="199"/>
      <c r="E186" s="152">
        <v>12</v>
      </c>
      <c r="F186" s="303">
        <f>HLOOKUP($C186,$BZ$2:$CM$3,2,0)</f>
        <v>2007.3</v>
      </c>
      <c r="G186" s="113">
        <f>D186*E186*F186</f>
        <v>0</v>
      </c>
      <c r="H186" s="166"/>
      <c r="I186" s="114" t="s">
        <v>495</v>
      </c>
      <c r="J186" s="114" t="str">
        <f>VLOOKUP(I186,Presupuesto!$B$11:$C$565,2,0)</f>
        <v>SUELDOS Y SALARIOS PERMANENTES</v>
      </c>
      <c r="K186" s="98" t="str">
        <f t="shared" si="3"/>
        <v>Posgrado</v>
      </c>
      <c r="L186" s="98" t="s">
        <v>394</v>
      </c>
    </row>
    <row r="187" spans="3:12" x14ac:dyDescent="0.25">
      <c r="C187" s="171" t="s">
        <v>58</v>
      </c>
      <c r="D187" s="163"/>
      <c r="E187" s="154">
        <v>0</v>
      </c>
      <c r="F187" s="100">
        <f>IF(E186=0,"",(G186/E186)/12*E186)</f>
        <v>0</v>
      </c>
      <c r="G187" s="97">
        <f>F187</f>
        <v>0</v>
      </c>
      <c r="H187" s="164"/>
      <c r="I187" s="116" t="s">
        <v>515</v>
      </c>
      <c r="J187" s="116" t="str">
        <f>VLOOKUP(I187,Presupuesto!$B$11:$C$565,2,0)</f>
        <v>AGUINALDO Y DECIMO CUARTO MES</v>
      </c>
      <c r="K187" s="98" t="str">
        <f t="shared" si="3"/>
        <v>Posgrado</v>
      </c>
      <c r="L187" s="98" t="s">
        <v>394</v>
      </c>
    </row>
    <row r="188" spans="3:12" ht="15.75" thickBot="1" x14ac:dyDescent="0.3">
      <c r="C188" s="172" t="s">
        <v>59</v>
      </c>
      <c r="D188" s="163"/>
      <c r="E188" s="154">
        <v>0</v>
      </c>
      <c r="F188" s="117">
        <f>IF(E186&lt;6,"",((E186-6)/12)*(G186/E186))</f>
        <v>0</v>
      </c>
      <c r="G188" s="97">
        <f>F188</f>
        <v>0</v>
      </c>
      <c r="H188" s="164"/>
      <c r="I188" s="101" t="s">
        <v>518</v>
      </c>
      <c r="J188" s="101" t="str">
        <f>VLOOKUP(I188,Presupuesto!$B$11:$C$565,2,0)</f>
        <v>DECIMOCUARTO MES</v>
      </c>
      <c r="K188" s="98" t="str">
        <f t="shared" si="3"/>
        <v>Posgrado</v>
      </c>
      <c r="L188" s="98" t="s">
        <v>394</v>
      </c>
    </row>
    <row r="189" spans="3:12" ht="15.75" thickBot="1" x14ac:dyDescent="0.3">
      <c r="C189" s="140" t="s">
        <v>83</v>
      </c>
      <c r="D189" s="199"/>
      <c r="E189" s="152">
        <v>12</v>
      </c>
      <c r="F189" s="139">
        <v>30000</v>
      </c>
      <c r="G189" s="113">
        <f>D189*E189*F189</f>
        <v>0</v>
      </c>
      <c r="H189" s="166"/>
      <c r="I189" s="114" t="s">
        <v>563</v>
      </c>
      <c r="J189" s="114" t="str">
        <f>VLOOKUP(I189,Presupuesto!$B$11:$C$565,2,0)</f>
        <v>CONTRATOS ESPECIALES</v>
      </c>
      <c r="K189" s="98" t="str">
        <f t="shared" si="3"/>
        <v>Posgrado</v>
      </c>
      <c r="L189" s="98" t="s">
        <v>394</v>
      </c>
    </row>
    <row r="190" spans="3:12" x14ac:dyDescent="0.25">
      <c r="C190" s="171" t="s">
        <v>58</v>
      </c>
      <c r="D190" s="163"/>
      <c r="E190" s="154">
        <v>0</v>
      </c>
      <c r="F190" s="117">
        <f>IF(E189=0,"",(G189/E189)/12*E189)</f>
        <v>0</v>
      </c>
      <c r="G190" s="97">
        <f>F190</f>
        <v>0</v>
      </c>
      <c r="H190" s="164"/>
      <c r="I190" s="101" t="s">
        <v>563</v>
      </c>
      <c r="J190" s="101" t="str">
        <f>VLOOKUP(I190,Presupuesto!$B$11:$C$565,2,0)</f>
        <v>CONTRATOS ESPECIALES</v>
      </c>
      <c r="K190" s="98" t="str">
        <f t="shared" si="3"/>
        <v>Posgrado</v>
      </c>
      <c r="L190" s="98" t="s">
        <v>393</v>
      </c>
    </row>
    <row r="191" spans="3:12" ht="15.75" thickBot="1" x14ac:dyDescent="0.3">
      <c r="C191" s="172" t="s">
        <v>59</v>
      </c>
      <c r="D191" s="163"/>
      <c r="E191" s="154">
        <v>0</v>
      </c>
      <c r="F191" s="100">
        <f>IF(E189&lt;6,"",((E189-6)/12)*(G189/E189))</f>
        <v>0</v>
      </c>
      <c r="G191" s="97">
        <f>F191</f>
        <v>0</v>
      </c>
      <c r="H191" s="164"/>
      <c r="I191" s="101" t="s">
        <v>563</v>
      </c>
      <c r="J191" s="101" t="str">
        <f>VLOOKUP(I191,Presupuesto!$B$11:$C$565,2,0)</f>
        <v>CONTRATOS ESPECIALES</v>
      </c>
      <c r="K191" s="98" t="str">
        <f t="shared" si="3"/>
        <v>Posgrado</v>
      </c>
      <c r="L191" s="98" t="s">
        <v>398</v>
      </c>
    </row>
    <row r="192" spans="3:12" ht="15.75" thickBot="1" x14ac:dyDescent="0.3">
      <c r="C192" s="140" t="s">
        <v>60</v>
      </c>
      <c r="D192" s="199"/>
      <c r="E192" s="152">
        <v>12</v>
      </c>
      <c r="F192" s="118">
        <v>30000</v>
      </c>
      <c r="G192" s="113">
        <f>D192*E192*F192</f>
        <v>0</v>
      </c>
      <c r="H192" s="166"/>
      <c r="I192" s="114" t="s">
        <v>704</v>
      </c>
      <c r="J192" s="114" t="str">
        <f>VLOOKUP(I192,Presupuesto!$B$11:$C$565,2,0)</f>
        <v>OTROS SERVICIOS TECNICOS Y PROFESIONALES</v>
      </c>
      <c r="K192" s="98" t="str">
        <f t="shared" si="3"/>
        <v>Posgrado</v>
      </c>
      <c r="L192" s="98" t="s">
        <v>393</v>
      </c>
    </row>
    <row r="193" spans="3:12" x14ac:dyDescent="0.25">
      <c r="C193" s="171" t="s">
        <v>58</v>
      </c>
      <c r="D193" s="163"/>
      <c r="E193" s="154">
        <v>0</v>
      </c>
      <c r="F193" s="100">
        <v>0</v>
      </c>
      <c r="G193" s="97">
        <f>F193</f>
        <v>0</v>
      </c>
      <c r="H193" s="164"/>
      <c r="I193" s="101" t="s">
        <v>704</v>
      </c>
      <c r="J193" s="101" t="str">
        <f>VLOOKUP(I193,Presupuesto!$B$11:$C$565,2,0)</f>
        <v>OTROS SERVICIOS TECNICOS Y PROFESIONALES</v>
      </c>
      <c r="K193" s="98" t="str">
        <f t="shared" si="3"/>
        <v>Posgrado</v>
      </c>
      <c r="L193" s="98" t="s">
        <v>393</v>
      </c>
    </row>
    <row r="194" spans="3:12" ht="15.75" thickBot="1" x14ac:dyDescent="0.3">
      <c r="C194" s="172" t="s">
        <v>59</v>
      </c>
      <c r="D194" s="163"/>
      <c r="E194" s="154">
        <v>0</v>
      </c>
      <c r="F194" s="100">
        <v>0</v>
      </c>
      <c r="G194" s="97">
        <f>F194</f>
        <v>0</v>
      </c>
      <c r="H194" s="164"/>
      <c r="I194" s="101" t="s">
        <v>704</v>
      </c>
      <c r="J194" s="101" t="str">
        <f>VLOOKUP(I194,Presupuesto!$B$11:$C$565,2,0)</f>
        <v>OTROS SERVICIOS TECNICOS Y PROFESIONALES</v>
      </c>
      <c r="K194" s="98" t="str">
        <f t="shared" si="3"/>
        <v>Posgrado</v>
      </c>
      <c r="L194" s="98" t="s">
        <v>393</v>
      </c>
    </row>
    <row r="195" spans="3:12" ht="15.75" thickBot="1" x14ac:dyDescent="0.3">
      <c r="C195" s="140" t="s">
        <v>61</v>
      </c>
      <c r="D195" s="199"/>
      <c r="E195" s="152">
        <v>12</v>
      </c>
      <c r="F195" s="118">
        <v>30000</v>
      </c>
      <c r="G195" s="113">
        <f>D195*E195*F195</f>
        <v>0</v>
      </c>
      <c r="H195" s="166"/>
      <c r="I195" s="114" t="s">
        <v>495</v>
      </c>
      <c r="J195" s="114" t="str">
        <f>VLOOKUP(I195,Presupuesto!$B$11:$C$565,2,0)</f>
        <v>SUELDOS Y SALARIOS PERMANENTES</v>
      </c>
      <c r="K195" s="98" t="str">
        <f t="shared" si="3"/>
        <v>Posgrado</v>
      </c>
      <c r="L195" s="98" t="s">
        <v>393</v>
      </c>
    </row>
    <row r="196" spans="3:12" x14ac:dyDescent="0.25">
      <c r="C196" s="171" t="s">
        <v>58</v>
      </c>
      <c r="D196" s="169"/>
      <c r="E196" s="131">
        <v>0</v>
      </c>
      <c r="F196" s="119">
        <f>IF(E195=0,"",(G195/E195)/12*E195)</f>
        <v>0</v>
      </c>
      <c r="G196" s="120">
        <f>F196</f>
        <v>0</v>
      </c>
      <c r="H196" s="164"/>
      <c r="I196" s="101" t="s">
        <v>515</v>
      </c>
      <c r="J196" s="101" t="str">
        <f>VLOOKUP(I196,Presupuesto!$B$11:$C$565,2,0)</f>
        <v>AGUINALDO Y DECIMO CUARTO MES</v>
      </c>
      <c r="K196" s="98" t="str">
        <f t="shared" si="3"/>
        <v>Posgrado</v>
      </c>
      <c r="L196" s="98" t="s">
        <v>393</v>
      </c>
    </row>
    <row r="197" spans="3:12" ht="15.75" thickBot="1" x14ac:dyDescent="0.3">
      <c r="C197" s="173" t="s">
        <v>59</v>
      </c>
      <c r="D197" s="162"/>
      <c r="E197" s="132">
        <v>0</v>
      </c>
      <c r="F197" s="105">
        <f>IF(E195&lt;6,"",((E195-6)/12)*(G195/E195))</f>
        <v>0</v>
      </c>
      <c r="G197" s="105">
        <f>F197</f>
        <v>0</v>
      </c>
      <c r="H197" s="162"/>
      <c r="I197" s="106" t="s">
        <v>518</v>
      </c>
      <c r="J197" s="124" t="str">
        <f>VLOOKUP(I197,Presupuesto!$B$11:$C$565,2,0)</f>
        <v>DECIMOCUARTO MES</v>
      </c>
      <c r="K197" s="106" t="str">
        <f t="shared" si="3"/>
        <v>Posgrado</v>
      </c>
      <c r="L197" s="124" t="s">
        <v>393</v>
      </c>
    </row>
    <row r="199" spans="3:12" ht="15.75" thickBot="1" x14ac:dyDescent="0.3">
      <c r="K199" s="153"/>
    </row>
    <row r="200" spans="3:12" ht="15.75" thickBot="1" x14ac:dyDescent="0.3">
      <c r="C200" s="69" t="s">
        <v>43</v>
      </c>
      <c r="D200" s="30">
        <f>SUM(G207:G257)</f>
        <v>0</v>
      </c>
      <c r="E200" s="93"/>
      <c r="F200" s="93"/>
      <c r="G200" s="93"/>
      <c r="H200" s="76"/>
      <c r="I200" s="76"/>
      <c r="J200" s="76"/>
      <c r="K200" s="153"/>
    </row>
    <row r="201" spans="3:12" x14ac:dyDescent="0.25">
      <c r="D201" s="31"/>
      <c r="E201" s="93"/>
      <c r="F201" s="93"/>
      <c r="G201" s="93"/>
      <c r="H201" s="76"/>
      <c r="I201" s="76"/>
      <c r="J201" s="76"/>
      <c r="K201" s="153"/>
    </row>
    <row r="202" spans="3:12" x14ac:dyDescent="0.25">
      <c r="D202" s="31"/>
      <c r="E202" s="93"/>
      <c r="F202" s="93"/>
      <c r="G202" s="93"/>
      <c r="H202" s="76"/>
      <c r="I202" s="76"/>
      <c r="J202" s="76"/>
      <c r="K202" s="153"/>
    </row>
    <row r="203" spans="3:12" ht="15.75" x14ac:dyDescent="0.25">
      <c r="C203" s="202" t="s">
        <v>391</v>
      </c>
      <c r="D203" s="368"/>
      <c r="E203" s="93"/>
      <c r="F203" s="93"/>
      <c r="G203" s="93"/>
      <c r="H203" s="76"/>
      <c r="I203" s="76"/>
      <c r="J203" s="76"/>
      <c r="K203" s="153"/>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53"/>
    </row>
    <row r="205" spans="3:12" ht="15.75" thickBot="1" x14ac:dyDescent="0.3">
      <c r="C205" s="177"/>
      <c r="D205" s="31"/>
      <c r="E205" s="93"/>
      <c r="F205" s="93"/>
      <c r="G205" s="93"/>
      <c r="H205" s="76"/>
      <c r="I205" s="76"/>
      <c r="J205" s="76"/>
      <c r="K205" s="153"/>
    </row>
    <row r="206" spans="3:12" ht="30.75" thickBot="1" x14ac:dyDescent="0.3">
      <c r="C206" s="134" t="s">
        <v>44</v>
      </c>
      <c r="D206" s="138" t="s">
        <v>55</v>
      </c>
      <c r="E206" s="170" t="s">
        <v>56</v>
      </c>
      <c r="F206" s="138" t="s">
        <v>57</v>
      </c>
      <c r="G206" s="135" t="s">
        <v>27</v>
      </c>
      <c r="H206" s="133" t="s">
        <v>130</v>
      </c>
      <c r="I206" s="136" t="s">
        <v>46</v>
      </c>
      <c r="J206" s="136" t="s">
        <v>131</v>
      </c>
      <c r="K206" s="136" t="s">
        <v>409</v>
      </c>
      <c r="L206" s="136" t="s">
        <v>410</v>
      </c>
    </row>
    <row r="207" spans="3:12" ht="15.75" thickBot="1" x14ac:dyDescent="0.3">
      <c r="C207" s="137" t="s">
        <v>481</v>
      </c>
      <c r="D207" s="199"/>
      <c r="E207" s="152">
        <v>12</v>
      </c>
      <c r="F207" s="303">
        <f>HLOOKUP($C207,$BZ$2:$CM$3,2,0)</f>
        <v>43674.39</v>
      </c>
      <c r="G207" s="113">
        <f>D207*E207*F207</f>
        <v>0</v>
      </c>
      <c r="H207" s="166"/>
      <c r="I207" s="114" t="s">
        <v>495</v>
      </c>
      <c r="J207" s="114" t="str">
        <f>VLOOKUP(I207,Presupuesto!$B$11:$C$565,2,0)</f>
        <v>SUELDOS Y SALARIOS PERMANENTES</v>
      </c>
      <c r="K207" s="218" t="s">
        <v>1449</v>
      </c>
      <c r="L207" s="98" t="s">
        <v>393</v>
      </c>
    </row>
    <row r="208" spans="3:12" x14ac:dyDescent="0.25">
      <c r="C208" s="171" t="s">
        <v>58</v>
      </c>
      <c r="D208" s="163"/>
      <c r="E208" s="154">
        <v>0</v>
      </c>
      <c r="F208" s="100">
        <f>IF(E207=0,"",(G207/E207)/12*E207)</f>
        <v>0</v>
      </c>
      <c r="G208" s="97">
        <f>F208</f>
        <v>0</v>
      </c>
      <c r="H208" s="164"/>
      <c r="I208" s="116" t="s">
        <v>515</v>
      </c>
      <c r="J208" s="116" t="str">
        <f>VLOOKUP(I208,Presupuesto!$B$11:$C$565,2,0)</f>
        <v>AGUINALDO Y DECIMO CUARTO MES</v>
      </c>
      <c r="K208" s="98" t="str">
        <f t="shared" ref="K208:K239" si="4">$K$207</f>
        <v>Posgrado</v>
      </c>
      <c r="L208" s="98" t="s">
        <v>411</v>
      </c>
    </row>
    <row r="209" spans="3:12" ht="15.75" thickBot="1" x14ac:dyDescent="0.3">
      <c r="C209" s="172" t="s">
        <v>59</v>
      </c>
      <c r="D209" s="163"/>
      <c r="E209" s="154">
        <v>0</v>
      </c>
      <c r="F209" s="117">
        <f>IF(E207&lt;6,"",((E207-6)/12)*(G207/E207))</f>
        <v>0</v>
      </c>
      <c r="G209" s="97">
        <f>F209</f>
        <v>0</v>
      </c>
      <c r="H209" s="164"/>
      <c r="I209" s="101" t="s">
        <v>518</v>
      </c>
      <c r="J209" s="101" t="str">
        <f>VLOOKUP(I209,Presupuesto!$B$11:$C$565,2,0)</f>
        <v>DECIMOCUARTO MES</v>
      </c>
      <c r="K209" s="98" t="str">
        <f t="shared" si="4"/>
        <v>Posgrado</v>
      </c>
      <c r="L209" s="98" t="s">
        <v>394</v>
      </c>
    </row>
    <row r="210" spans="3:12" ht="15.75" thickBot="1" x14ac:dyDescent="0.3">
      <c r="C210" s="137" t="s">
        <v>482</v>
      </c>
      <c r="D210" s="199"/>
      <c r="E210" s="152">
        <v>12</v>
      </c>
      <c r="F210" s="303">
        <f>HLOOKUP($C210,$BZ$2:$CM$3,2,0)</f>
        <v>39703.99</v>
      </c>
      <c r="G210" s="113">
        <f>D210*E210*F210</f>
        <v>0</v>
      </c>
      <c r="H210" s="166"/>
      <c r="I210" s="114" t="s">
        <v>495</v>
      </c>
      <c r="J210" s="114" t="str">
        <f>VLOOKUP(I210,Presupuesto!$B$11:$C$565,2,0)</f>
        <v>SUELDOS Y SALARIOS PERMANENTES</v>
      </c>
      <c r="K210" s="98" t="str">
        <f t="shared" si="4"/>
        <v>Posgrado</v>
      </c>
      <c r="L210" s="98" t="s">
        <v>394</v>
      </c>
    </row>
    <row r="211" spans="3:12" x14ac:dyDescent="0.25">
      <c r="C211" s="171" t="s">
        <v>58</v>
      </c>
      <c r="D211" s="163"/>
      <c r="E211" s="154">
        <v>0</v>
      </c>
      <c r="F211" s="100">
        <f>IF(E210=0,"",(G210/E210)/12*E210)</f>
        <v>0</v>
      </c>
      <c r="G211" s="97">
        <f>F211</f>
        <v>0</v>
      </c>
      <c r="H211" s="164"/>
      <c r="I211" s="116" t="s">
        <v>515</v>
      </c>
      <c r="J211" s="116" t="str">
        <f>VLOOKUP(I211,Presupuesto!$B$11:$C$565,2,0)</f>
        <v>AGUINALDO Y DECIMO CUARTO MES</v>
      </c>
      <c r="K211" s="98" t="str">
        <f t="shared" si="4"/>
        <v>Posgrado</v>
      </c>
      <c r="L211" s="98" t="s">
        <v>394</v>
      </c>
    </row>
    <row r="212" spans="3:12" ht="15.75" thickBot="1" x14ac:dyDescent="0.3">
      <c r="C212" s="172" t="s">
        <v>59</v>
      </c>
      <c r="D212" s="163"/>
      <c r="E212" s="154">
        <v>0</v>
      </c>
      <c r="F212" s="117">
        <f>IF(E210&lt;6,"",((E210-6)/12)*(G210/E210))</f>
        <v>0</v>
      </c>
      <c r="G212" s="97">
        <f>F212</f>
        <v>0</v>
      </c>
      <c r="H212" s="164"/>
      <c r="I212" s="101" t="s">
        <v>518</v>
      </c>
      <c r="J212" s="101" t="str">
        <f>VLOOKUP(I212,Presupuesto!$B$11:$C$565,2,0)</f>
        <v>DECIMOCUARTO MES</v>
      </c>
      <c r="K212" s="98" t="str">
        <f t="shared" si="4"/>
        <v>Posgrado</v>
      </c>
      <c r="L212" s="98" t="s">
        <v>394</v>
      </c>
    </row>
    <row r="213" spans="3:12" ht="15.75" thickBot="1" x14ac:dyDescent="0.3">
      <c r="C213" s="137" t="s">
        <v>483</v>
      </c>
      <c r="D213" s="199"/>
      <c r="E213" s="152">
        <v>12</v>
      </c>
      <c r="F213" s="303">
        <f>HLOOKUP($C213,$BZ$2:$CM$3,2,0)</f>
        <v>35733.589999999997</v>
      </c>
      <c r="G213" s="113">
        <f>D213*E213*F213</f>
        <v>0</v>
      </c>
      <c r="H213" s="166"/>
      <c r="I213" s="114" t="s">
        <v>495</v>
      </c>
      <c r="J213" s="114" t="str">
        <f>VLOOKUP(I213,Presupuesto!$B$11:$C$565,2,0)</f>
        <v>SUELDOS Y SALARIOS PERMANENTES</v>
      </c>
      <c r="K213" s="98" t="str">
        <f t="shared" si="4"/>
        <v>Posgrado</v>
      </c>
      <c r="L213" s="98" t="s">
        <v>394</v>
      </c>
    </row>
    <row r="214" spans="3:12" x14ac:dyDescent="0.25">
      <c r="C214" s="171" t="s">
        <v>58</v>
      </c>
      <c r="D214" s="163"/>
      <c r="E214" s="154">
        <v>0</v>
      </c>
      <c r="F214" s="100">
        <f>IF(E213=0,"",(G213/E213)/12*E213)</f>
        <v>0</v>
      </c>
      <c r="G214" s="97">
        <f>F214</f>
        <v>0</v>
      </c>
      <c r="H214" s="164"/>
      <c r="I214" s="116" t="s">
        <v>515</v>
      </c>
      <c r="J214" s="116" t="str">
        <f>VLOOKUP(I214,Presupuesto!$B$11:$C$565,2,0)</f>
        <v>AGUINALDO Y DECIMO CUARTO MES</v>
      </c>
      <c r="K214" s="98" t="str">
        <f t="shared" si="4"/>
        <v>Posgrado</v>
      </c>
      <c r="L214" s="98" t="s">
        <v>394</v>
      </c>
    </row>
    <row r="215" spans="3:12" ht="15.75" thickBot="1" x14ac:dyDescent="0.3">
      <c r="C215" s="172" t="s">
        <v>59</v>
      </c>
      <c r="D215" s="163"/>
      <c r="E215" s="154">
        <v>0</v>
      </c>
      <c r="F215" s="117">
        <f>IF(E213&lt;6,"",((E213-6)/12)*(G213/E213))</f>
        <v>0</v>
      </c>
      <c r="G215" s="97">
        <f>F215</f>
        <v>0</v>
      </c>
      <c r="H215" s="164"/>
      <c r="I215" s="101" t="s">
        <v>518</v>
      </c>
      <c r="J215" s="101" t="str">
        <f>VLOOKUP(I215,Presupuesto!$B$11:$C$565,2,0)</f>
        <v>DECIMOCUARTO MES</v>
      </c>
      <c r="K215" s="98" t="str">
        <f t="shared" si="4"/>
        <v>Posgrado</v>
      </c>
      <c r="L215" s="98" t="s">
        <v>394</v>
      </c>
    </row>
    <row r="216" spans="3:12" ht="15.75" thickBot="1" x14ac:dyDescent="0.3">
      <c r="C216" s="137" t="s">
        <v>484</v>
      </c>
      <c r="D216" s="199"/>
      <c r="E216" s="152">
        <v>12</v>
      </c>
      <c r="F216" s="303">
        <f>HLOOKUP($C216,$BZ$2:$CM$3,2,0)</f>
        <v>31763.19</v>
      </c>
      <c r="G216" s="113">
        <f>D216*E216*F216</f>
        <v>0</v>
      </c>
      <c r="H216" s="166"/>
      <c r="I216" s="114" t="s">
        <v>495</v>
      </c>
      <c r="J216" s="114" t="str">
        <f>VLOOKUP(I216,Presupuesto!$B$11:$C$565,2,0)</f>
        <v>SUELDOS Y SALARIOS PERMANENTES</v>
      </c>
      <c r="K216" s="98" t="str">
        <f t="shared" si="4"/>
        <v>Posgrado</v>
      </c>
      <c r="L216" s="98" t="s">
        <v>394</v>
      </c>
    </row>
    <row r="217" spans="3:12" x14ac:dyDescent="0.25">
      <c r="C217" s="171" t="s">
        <v>58</v>
      </c>
      <c r="D217" s="163"/>
      <c r="E217" s="154">
        <v>0</v>
      </c>
      <c r="F217" s="100">
        <f>IF(E216=0,"",(G216/E216)/12*E216)</f>
        <v>0</v>
      </c>
      <c r="G217" s="97">
        <f>F217</f>
        <v>0</v>
      </c>
      <c r="H217" s="164"/>
      <c r="I217" s="116" t="s">
        <v>515</v>
      </c>
      <c r="J217" s="116" t="str">
        <f>VLOOKUP(I217,Presupuesto!$B$11:$C$565,2,0)</f>
        <v>AGUINALDO Y DECIMO CUARTO MES</v>
      </c>
      <c r="K217" s="98" t="str">
        <f t="shared" si="4"/>
        <v>Posgrado</v>
      </c>
      <c r="L217" s="98" t="s">
        <v>394</v>
      </c>
    </row>
    <row r="218" spans="3:12" ht="15.75" thickBot="1" x14ac:dyDescent="0.3">
      <c r="C218" s="172" t="s">
        <v>59</v>
      </c>
      <c r="D218" s="163"/>
      <c r="E218" s="154">
        <v>0</v>
      </c>
      <c r="F218" s="117">
        <f>IF(E216&lt;6,"",((E216-6)/12)*(G216/E216))</f>
        <v>0</v>
      </c>
      <c r="G218" s="97">
        <f>F218</f>
        <v>0</v>
      </c>
      <c r="H218" s="164"/>
      <c r="I218" s="101" t="s">
        <v>518</v>
      </c>
      <c r="J218" s="101" t="str">
        <f>VLOOKUP(I218,Presupuesto!$B$11:$C$565,2,0)</f>
        <v>DECIMOCUARTO MES</v>
      </c>
      <c r="K218" s="98" t="str">
        <f t="shared" si="4"/>
        <v>Posgrado</v>
      </c>
      <c r="L218" s="98" t="s">
        <v>394</v>
      </c>
    </row>
    <row r="219" spans="3:12" ht="15.75" thickBot="1" x14ac:dyDescent="0.3">
      <c r="C219" s="137" t="s">
        <v>485</v>
      </c>
      <c r="D219" s="199"/>
      <c r="E219" s="152">
        <v>12</v>
      </c>
      <c r="F219" s="303">
        <f>HLOOKUP($C219,$BZ$2:$CM$3,2,0)</f>
        <v>29777.99</v>
      </c>
      <c r="G219" s="113">
        <f>D219*E219*F219</f>
        <v>0</v>
      </c>
      <c r="H219" s="166"/>
      <c r="I219" s="114" t="s">
        <v>495</v>
      </c>
      <c r="J219" s="114" t="str">
        <f>VLOOKUP(I219,Presupuesto!$B$11:$C$565,2,0)</f>
        <v>SUELDOS Y SALARIOS PERMANENTES</v>
      </c>
      <c r="K219" s="98" t="str">
        <f t="shared" si="4"/>
        <v>Posgrado</v>
      </c>
      <c r="L219" s="98" t="s">
        <v>394</v>
      </c>
    </row>
    <row r="220" spans="3:12" x14ac:dyDescent="0.25">
      <c r="C220" s="171" t="s">
        <v>58</v>
      </c>
      <c r="D220" s="163"/>
      <c r="E220" s="154">
        <v>0</v>
      </c>
      <c r="F220" s="100">
        <f>IF(E219=0,"",(G219/E219)/12*E219)</f>
        <v>0</v>
      </c>
      <c r="G220" s="97">
        <f>F220</f>
        <v>0</v>
      </c>
      <c r="H220" s="164"/>
      <c r="I220" s="116" t="s">
        <v>515</v>
      </c>
      <c r="J220" s="116" t="str">
        <f>VLOOKUP(I220,Presupuesto!$B$11:$C$565,2,0)</f>
        <v>AGUINALDO Y DECIMO CUARTO MES</v>
      </c>
      <c r="K220" s="98" t="str">
        <f t="shared" si="4"/>
        <v>Posgrado</v>
      </c>
      <c r="L220" s="98" t="s">
        <v>394</v>
      </c>
    </row>
    <row r="221" spans="3:12" ht="15.75" thickBot="1" x14ac:dyDescent="0.3">
      <c r="C221" s="172" t="s">
        <v>59</v>
      </c>
      <c r="D221" s="163"/>
      <c r="E221" s="154">
        <v>0</v>
      </c>
      <c r="F221" s="117">
        <f>IF(E219&lt;6,"",((E219-6)/12)*(G219/E219))</f>
        <v>0</v>
      </c>
      <c r="G221" s="97">
        <f>F221</f>
        <v>0</v>
      </c>
      <c r="H221" s="164"/>
      <c r="I221" s="101" t="s">
        <v>518</v>
      </c>
      <c r="J221" s="101" t="str">
        <f>VLOOKUP(I221,Presupuesto!$B$11:$C$565,2,0)</f>
        <v>DECIMOCUARTO MES</v>
      </c>
      <c r="K221" s="98" t="str">
        <f t="shared" si="4"/>
        <v>Posgrado</v>
      </c>
      <c r="L221" s="98" t="s">
        <v>394</v>
      </c>
    </row>
    <row r="222" spans="3:12" ht="15.75" thickBot="1" x14ac:dyDescent="0.3">
      <c r="C222" s="137" t="s">
        <v>486</v>
      </c>
      <c r="D222" s="199"/>
      <c r="E222" s="152">
        <v>12</v>
      </c>
      <c r="F222" s="303">
        <f>HLOOKUP($C222,$BZ$2:$CM$3,2,0)</f>
        <v>27792.79</v>
      </c>
      <c r="G222" s="113">
        <f>D222*E222*F222</f>
        <v>0</v>
      </c>
      <c r="H222" s="166"/>
      <c r="I222" s="114" t="s">
        <v>495</v>
      </c>
      <c r="J222" s="114" t="str">
        <f>VLOOKUP(I222,Presupuesto!$B$11:$C$565,2,0)</f>
        <v>SUELDOS Y SALARIOS PERMANENTES</v>
      </c>
      <c r="K222" s="98" t="str">
        <f t="shared" si="4"/>
        <v>Posgrado</v>
      </c>
      <c r="L222" s="98" t="s">
        <v>394</v>
      </c>
    </row>
    <row r="223" spans="3:12" x14ac:dyDescent="0.25">
      <c r="C223" s="171" t="s">
        <v>58</v>
      </c>
      <c r="D223" s="163"/>
      <c r="E223" s="154">
        <v>0</v>
      </c>
      <c r="F223" s="100">
        <f>IF(E222=0,"",(G222/E222)/12*E222)</f>
        <v>0</v>
      </c>
      <c r="G223" s="97">
        <f>F223</f>
        <v>0</v>
      </c>
      <c r="H223" s="164"/>
      <c r="I223" s="116" t="s">
        <v>515</v>
      </c>
      <c r="J223" s="116" t="str">
        <f>VLOOKUP(I223,Presupuesto!$B$11:$C$565,2,0)</f>
        <v>AGUINALDO Y DECIMO CUARTO MES</v>
      </c>
      <c r="K223" s="98" t="str">
        <f t="shared" si="4"/>
        <v>Posgrado</v>
      </c>
      <c r="L223" s="98" t="s">
        <v>394</v>
      </c>
    </row>
    <row r="224" spans="3:12" ht="15.75" thickBot="1" x14ac:dyDescent="0.3">
      <c r="C224" s="172" t="s">
        <v>59</v>
      </c>
      <c r="D224" s="163"/>
      <c r="E224" s="154">
        <v>0</v>
      </c>
      <c r="F224" s="117">
        <f>IF(E222&lt;6,"",((E222-6)/12)*(G222/E222))</f>
        <v>0</v>
      </c>
      <c r="G224" s="97">
        <f>F224</f>
        <v>0</v>
      </c>
      <c r="H224" s="164"/>
      <c r="I224" s="101" t="s">
        <v>518</v>
      </c>
      <c r="J224" s="101" t="str">
        <f>VLOOKUP(I224,Presupuesto!$B$11:$C$565,2,0)</f>
        <v>DECIMOCUARTO MES</v>
      </c>
      <c r="K224" s="98" t="str">
        <f t="shared" si="4"/>
        <v>Posgrado</v>
      </c>
      <c r="L224" s="98" t="s">
        <v>394</v>
      </c>
    </row>
    <row r="225" spans="3:12" ht="15.75" thickBot="1" x14ac:dyDescent="0.3">
      <c r="C225" s="137" t="s">
        <v>487</v>
      </c>
      <c r="D225" s="199"/>
      <c r="E225" s="152">
        <v>12</v>
      </c>
      <c r="F225" s="303">
        <f>HLOOKUP($C225,$BZ$2:$CM$3,2,0)</f>
        <v>18859.39</v>
      </c>
      <c r="G225" s="113">
        <f>D225*E225*F225</f>
        <v>0</v>
      </c>
      <c r="H225" s="166"/>
      <c r="I225" s="114" t="s">
        <v>495</v>
      </c>
      <c r="J225" s="114" t="str">
        <f>VLOOKUP(I225,Presupuesto!$B$11:$C$565,2,0)</f>
        <v>SUELDOS Y SALARIOS PERMANENTES</v>
      </c>
      <c r="K225" s="98" t="str">
        <f t="shared" si="4"/>
        <v>Posgrado</v>
      </c>
      <c r="L225" s="98" t="s">
        <v>394</v>
      </c>
    </row>
    <row r="226" spans="3:12" x14ac:dyDescent="0.25">
      <c r="C226" s="171" t="s">
        <v>58</v>
      </c>
      <c r="D226" s="163"/>
      <c r="E226" s="154">
        <v>0</v>
      </c>
      <c r="F226" s="100">
        <f>IF(E225=0,"",(G225/E225)/12*E225)</f>
        <v>0</v>
      </c>
      <c r="G226" s="97">
        <f>F226</f>
        <v>0</v>
      </c>
      <c r="H226" s="164"/>
      <c r="I226" s="116" t="s">
        <v>515</v>
      </c>
      <c r="J226" s="116" t="str">
        <f>VLOOKUP(I226,Presupuesto!$B$11:$C$565,2,0)</f>
        <v>AGUINALDO Y DECIMO CUARTO MES</v>
      </c>
      <c r="K226" s="98" t="str">
        <f t="shared" si="4"/>
        <v>Posgrado</v>
      </c>
      <c r="L226" s="98" t="s">
        <v>394</v>
      </c>
    </row>
    <row r="227" spans="3:12" ht="15.75" thickBot="1" x14ac:dyDescent="0.3">
      <c r="C227" s="172" t="s">
        <v>59</v>
      </c>
      <c r="D227" s="163"/>
      <c r="E227" s="154">
        <v>0</v>
      </c>
      <c r="F227" s="117">
        <f>IF(E225&lt;6,"",((E225-6)/12)*(G225/E225))</f>
        <v>0</v>
      </c>
      <c r="G227" s="97">
        <f>F227</f>
        <v>0</v>
      </c>
      <c r="H227" s="164"/>
      <c r="I227" s="101" t="s">
        <v>518</v>
      </c>
      <c r="J227" s="101" t="str">
        <f>VLOOKUP(I227,Presupuesto!$B$11:$C$565,2,0)</f>
        <v>DECIMOCUARTO MES</v>
      </c>
      <c r="K227" s="98" t="str">
        <f t="shared" si="4"/>
        <v>Posgrado</v>
      </c>
      <c r="L227" s="98" t="s">
        <v>394</v>
      </c>
    </row>
    <row r="228" spans="3:12" ht="15.75" thickBot="1" x14ac:dyDescent="0.3">
      <c r="C228" s="137" t="s">
        <v>488</v>
      </c>
      <c r="D228" s="199"/>
      <c r="E228" s="152">
        <v>12</v>
      </c>
      <c r="F228" s="303">
        <f>HLOOKUP($C228,$BZ$2:$CM$3,2,0)</f>
        <v>17866.8</v>
      </c>
      <c r="G228" s="113">
        <f>D228*E228*F228</f>
        <v>0</v>
      </c>
      <c r="H228" s="166"/>
      <c r="I228" s="114" t="s">
        <v>495</v>
      </c>
      <c r="J228" s="114" t="str">
        <f>VLOOKUP(I228,Presupuesto!$B$11:$C$565,2,0)</f>
        <v>SUELDOS Y SALARIOS PERMANENTES</v>
      </c>
      <c r="K228" s="98" t="str">
        <f t="shared" si="4"/>
        <v>Posgrado</v>
      </c>
      <c r="L228" s="98" t="s">
        <v>394</v>
      </c>
    </row>
    <row r="229" spans="3:12" x14ac:dyDescent="0.25">
      <c r="C229" s="171" t="s">
        <v>58</v>
      </c>
      <c r="D229" s="163"/>
      <c r="E229" s="154">
        <v>0</v>
      </c>
      <c r="F229" s="100">
        <f>IF(E228=0,"",(G228/E228)/12*E228)</f>
        <v>0</v>
      </c>
      <c r="G229" s="97">
        <f>F229</f>
        <v>0</v>
      </c>
      <c r="H229" s="164"/>
      <c r="I229" s="116" t="s">
        <v>515</v>
      </c>
      <c r="J229" s="116" t="str">
        <f>VLOOKUP(I229,Presupuesto!$B$11:$C$565,2,0)</f>
        <v>AGUINALDO Y DECIMO CUARTO MES</v>
      </c>
      <c r="K229" s="98" t="str">
        <f t="shared" si="4"/>
        <v>Posgrado</v>
      </c>
      <c r="L229" s="98" t="s">
        <v>394</v>
      </c>
    </row>
    <row r="230" spans="3:12" ht="15.75" thickBot="1" x14ac:dyDescent="0.3">
      <c r="C230" s="172" t="s">
        <v>59</v>
      </c>
      <c r="D230" s="163"/>
      <c r="E230" s="154">
        <v>0</v>
      </c>
      <c r="F230" s="117">
        <f>IF(E228&lt;6,"",((E228-6)/12)*(G228/E228))</f>
        <v>0</v>
      </c>
      <c r="G230" s="97">
        <f>F230</f>
        <v>0</v>
      </c>
      <c r="H230" s="164"/>
      <c r="I230" s="101" t="s">
        <v>518</v>
      </c>
      <c r="J230" s="101" t="str">
        <f>VLOOKUP(I230,Presupuesto!$B$11:$C$565,2,0)</f>
        <v>DECIMOCUARTO MES</v>
      </c>
      <c r="K230" s="98" t="str">
        <f t="shared" si="4"/>
        <v>Posgrado</v>
      </c>
      <c r="L230" s="98" t="s">
        <v>394</v>
      </c>
    </row>
    <row r="231" spans="3:12" ht="15.75" thickBot="1" x14ac:dyDescent="0.3">
      <c r="C231" s="137" t="s">
        <v>489</v>
      </c>
      <c r="D231" s="199"/>
      <c r="E231" s="152">
        <v>12</v>
      </c>
      <c r="F231" s="303">
        <f>HLOOKUP($C231,$BZ$2:$CM$3,2,0)</f>
        <v>13896.4</v>
      </c>
      <c r="G231" s="113">
        <f>D231*E231*F231</f>
        <v>0</v>
      </c>
      <c r="H231" s="166"/>
      <c r="I231" s="114" t="s">
        <v>495</v>
      </c>
      <c r="J231" s="114" t="str">
        <f>VLOOKUP(I231,Presupuesto!$B$11:$C$565,2,0)</f>
        <v>SUELDOS Y SALARIOS PERMANENTES</v>
      </c>
      <c r="K231" s="98" t="str">
        <f t="shared" si="4"/>
        <v>Posgrado</v>
      </c>
      <c r="L231" s="98" t="s">
        <v>394</v>
      </c>
    </row>
    <row r="232" spans="3:12" x14ac:dyDescent="0.25">
      <c r="C232" s="171" t="s">
        <v>58</v>
      </c>
      <c r="D232" s="163"/>
      <c r="E232" s="154">
        <v>0</v>
      </c>
      <c r="F232" s="100">
        <f>IF(E231=0,"",(G231/E231)/12*E231)</f>
        <v>0</v>
      </c>
      <c r="G232" s="97">
        <f>F232</f>
        <v>0</v>
      </c>
      <c r="H232" s="164"/>
      <c r="I232" s="116" t="s">
        <v>515</v>
      </c>
      <c r="J232" s="116" t="str">
        <f>VLOOKUP(I232,Presupuesto!$B$11:$C$565,2,0)</f>
        <v>AGUINALDO Y DECIMO CUARTO MES</v>
      </c>
      <c r="K232" s="98" t="str">
        <f t="shared" si="4"/>
        <v>Posgrado</v>
      </c>
      <c r="L232" s="98" t="s">
        <v>394</v>
      </c>
    </row>
    <row r="233" spans="3:12" ht="15.75" thickBot="1" x14ac:dyDescent="0.3">
      <c r="C233" s="172" t="s">
        <v>59</v>
      </c>
      <c r="D233" s="163"/>
      <c r="E233" s="154">
        <v>0</v>
      </c>
      <c r="F233" s="117">
        <f>IF(E231&lt;6,"",((E231-6)/12)*(G231/E231))</f>
        <v>0</v>
      </c>
      <c r="G233" s="97">
        <f>F233</f>
        <v>0</v>
      </c>
      <c r="H233" s="164"/>
      <c r="I233" s="101" t="s">
        <v>518</v>
      </c>
      <c r="J233" s="101" t="str">
        <f>VLOOKUP(I233,Presupuesto!$B$11:$C$565,2,0)</f>
        <v>DECIMOCUARTO MES</v>
      </c>
      <c r="K233" s="98" t="str">
        <f t="shared" si="4"/>
        <v>Posgrado</v>
      </c>
      <c r="L233" s="98" t="s">
        <v>394</v>
      </c>
    </row>
    <row r="234" spans="3:12" ht="15.75" thickBot="1" x14ac:dyDescent="0.3">
      <c r="C234" s="137" t="s">
        <v>490</v>
      </c>
      <c r="D234" s="199"/>
      <c r="E234" s="152">
        <v>12</v>
      </c>
      <c r="F234" s="303">
        <f>HLOOKUP($C234,$BZ$2:$CM$3,2,0)</f>
        <v>15004.09</v>
      </c>
      <c r="G234" s="113">
        <f>D234*E234*F234</f>
        <v>0</v>
      </c>
      <c r="H234" s="166"/>
      <c r="I234" s="114" t="s">
        <v>495</v>
      </c>
      <c r="J234" s="114" t="str">
        <f>VLOOKUP(I234,Presupuesto!$B$11:$C$565,2,0)</f>
        <v>SUELDOS Y SALARIOS PERMANENTES</v>
      </c>
      <c r="K234" s="98" t="str">
        <f t="shared" si="4"/>
        <v>Posgrado</v>
      </c>
      <c r="L234" s="98" t="s">
        <v>394</v>
      </c>
    </row>
    <row r="235" spans="3:12" x14ac:dyDescent="0.25">
      <c r="C235" s="171" t="s">
        <v>58</v>
      </c>
      <c r="D235" s="163"/>
      <c r="E235" s="154">
        <v>0</v>
      </c>
      <c r="F235" s="100">
        <f>IF(E234=0,"",(G234/E234)/12*E234)</f>
        <v>0</v>
      </c>
      <c r="G235" s="97">
        <f>F235</f>
        <v>0</v>
      </c>
      <c r="H235" s="164"/>
      <c r="I235" s="116" t="s">
        <v>515</v>
      </c>
      <c r="J235" s="116" t="str">
        <f>VLOOKUP(I235,Presupuesto!$B$11:$C$565,2,0)</f>
        <v>AGUINALDO Y DECIMO CUARTO MES</v>
      </c>
      <c r="K235" s="98" t="str">
        <f t="shared" si="4"/>
        <v>Posgrado</v>
      </c>
      <c r="L235" s="98" t="s">
        <v>394</v>
      </c>
    </row>
    <row r="236" spans="3:12" ht="15.75" thickBot="1" x14ac:dyDescent="0.3">
      <c r="C236" s="172" t="s">
        <v>59</v>
      </c>
      <c r="D236" s="163"/>
      <c r="E236" s="154">
        <v>0</v>
      </c>
      <c r="F236" s="117">
        <f>IF(E234&lt;6,"",((E234-6)/12)*(G234/E234))</f>
        <v>0</v>
      </c>
      <c r="G236" s="97">
        <f>F236</f>
        <v>0</v>
      </c>
      <c r="H236" s="164"/>
      <c r="I236" s="101" t="s">
        <v>518</v>
      </c>
      <c r="J236" s="101" t="str">
        <f>VLOOKUP(I236,Presupuesto!$B$11:$C$565,2,0)</f>
        <v>DECIMOCUARTO MES</v>
      </c>
      <c r="K236" s="98" t="str">
        <f t="shared" si="4"/>
        <v>Posgrado</v>
      </c>
      <c r="L236" s="98" t="s">
        <v>394</v>
      </c>
    </row>
    <row r="237" spans="3:12" ht="15.75" thickBot="1" x14ac:dyDescent="0.3">
      <c r="C237" s="137" t="s">
        <v>491</v>
      </c>
      <c r="D237" s="199"/>
      <c r="E237" s="152">
        <v>12</v>
      </c>
      <c r="F237" s="303">
        <f>HLOOKUP($C237,$BZ$2:$CM$3,2,0)</f>
        <v>13238.9</v>
      </c>
      <c r="G237" s="113">
        <f>D237*E237*F237</f>
        <v>0</v>
      </c>
      <c r="H237" s="166"/>
      <c r="I237" s="114" t="s">
        <v>495</v>
      </c>
      <c r="J237" s="114" t="str">
        <f>VLOOKUP(I237,Presupuesto!$B$11:$C$565,2,0)</f>
        <v>SUELDOS Y SALARIOS PERMANENTES</v>
      </c>
      <c r="K237" s="98" t="str">
        <f t="shared" si="4"/>
        <v>Posgrado</v>
      </c>
      <c r="L237" s="98" t="s">
        <v>394</v>
      </c>
    </row>
    <row r="238" spans="3:12" x14ac:dyDescent="0.25">
      <c r="C238" s="171" t="s">
        <v>58</v>
      </c>
      <c r="D238" s="163"/>
      <c r="E238" s="154">
        <v>0</v>
      </c>
      <c r="F238" s="100">
        <f>IF(E237=0,"",(G237/E237)/12*E237)</f>
        <v>0</v>
      </c>
      <c r="G238" s="97">
        <f>F238</f>
        <v>0</v>
      </c>
      <c r="H238" s="164"/>
      <c r="I238" s="116" t="s">
        <v>515</v>
      </c>
      <c r="J238" s="116" t="str">
        <f>VLOOKUP(I238,Presupuesto!$B$11:$C$565,2,0)</f>
        <v>AGUINALDO Y DECIMO CUARTO MES</v>
      </c>
      <c r="K238" s="98" t="str">
        <f t="shared" si="4"/>
        <v>Posgrado</v>
      </c>
      <c r="L238" s="98" t="s">
        <v>394</v>
      </c>
    </row>
    <row r="239" spans="3:12" ht="15.75" thickBot="1" x14ac:dyDescent="0.3">
      <c r="C239" s="172" t="s">
        <v>59</v>
      </c>
      <c r="D239" s="163"/>
      <c r="E239" s="154">
        <v>0</v>
      </c>
      <c r="F239" s="117">
        <f>IF(E237&lt;6,"",((E237-6)/12)*(G237/E237))</f>
        <v>0</v>
      </c>
      <c r="G239" s="97">
        <f>F239</f>
        <v>0</v>
      </c>
      <c r="H239" s="164"/>
      <c r="I239" s="101" t="s">
        <v>518</v>
      </c>
      <c r="J239" s="101" t="str">
        <f>VLOOKUP(I239,Presupuesto!$B$11:$C$565,2,0)</f>
        <v>DECIMOCUARTO MES</v>
      </c>
      <c r="K239" s="98" t="str">
        <f t="shared" si="4"/>
        <v>Posgrado</v>
      </c>
      <c r="L239" s="98" t="s">
        <v>394</v>
      </c>
    </row>
    <row r="240" spans="3:12" ht="15.75" thickBot="1" x14ac:dyDescent="0.3">
      <c r="C240" s="137" t="s">
        <v>492</v>
      </c>
      <c r="D240" s="199"/>
      <c r="E240" s="152">
        <v>12</v>
      </c>
      <c r="F240" s="303">
        <f>HLOOKUP($C240,$BZ$2:$CM$3,2,0)</f>
        <v>12356.31</v>
      </c>
      <c r="G240" s="113">
        <f>D240*E240*F240</f>
        <v>0</v>
      </c>
      <c r="H240" s="166"/>
      <c r="I240" s="114" t="s">
        <v>495</v>
      </c>
      <c r="J240" s="114" t="str">
        <f>VLOOKUP(I240,Presupuesto!$B$11:$C$565,2,0)</f>
        <v>SUELDOS Y SALARIOS PERMANENTES</v>
      </c>
      <c r="K240" s="98" t="str">
        <f t="shared" ref="K240:K257" si="5">$K$207</f>
        <v>Posgrado</v>
      </c>
      <c r="L240" s="98" t="s">
        <v>394</v>
      </c>
    </row>
    <row r="241" spans="3:12" x14ac:dyDescent="0.25">
      <c r="C241" s="171" t="s">
        <v>58</v>
      </c>
      <c r="D241" s="163"/>
      <c r="E241" s="154">
        <v>0</v>
      </c>
      <c r="F241" s="100">
        <f>IF(E240=0,"",(G240/E240)/12*E240)</f>
        <v>0</v>
      </c>
      <c r="G241" s="97">
        <f>F241</f>
        <v>0</v>
      </c>
      <c r="H241" s="164"/>
      <c r="I241" s="116" t="s">
        <v>515</v>
      </c>
      <c r="J241" s="116" t="str">
        <f>VLOOKUP(I241,Presupuesto!$B$11:$C$565,2,0)</f>
        <v>AGUINALDO Y DECIMO CUARTO MES</v>
      </c>
      <c r="K241" s="98" t="str">
        <f t="shared" si="5"/>
        <v>Posgrado</v>
      </c>
      <c r="L241" s="98" t="s">
        <v>394</v>
      </c>
    </row>
    <row r="242" spans="3:12" ht="15.75" thickBot="1" x14ac:dyDescent="0.3">
      <c r="C242" s="172" t="s">
        <v>59</v>
      </c>
      <c r="D242" s="163"/>
      <c r="E242" s="154">
        <v>0</v>
      </c>
      <c r="F242" s="117">
        <f>IF(E240&lt;6,"",((E240-6)/12)*(G240/E240))</f>
        <v>0</v>
      </c>
      <c r="G242" s="97">
        <f>F242</f>
        <v>0</v>
      </c>
      <c r="H242" s="164"/>
      <c r="I242" s="101" t="s">
        <v>518</v>
      </c>
      <c r="J242" s="101" t="str">
        <f>VLOOKUP(I242,Presupuesto!$B$11:$C$565,2,0)</f>
        <v>DECIMOCUARTO MES</v>
      </c>
      <c r="K242" s="98" t="str">
        <f t="shared" si="5"/>
        <v>Posgrado</v>
      </c>
      <c r="L242" s="98" t="s">
        <v>394</v>
      </c>
    </row>
    <row r="243" spans="3:12" ht="15.75" thickBot="1" x14ac:dyDescent="0.3">
      <c r="C243" s="137" t="s">
        <v>493</v>
      </c>
      <c r="D243" s="199"/>
      <c r="E243" s="152">
        <v>12</v>
      </c>
      <c r="F243" s="303">
        <f>HLOOKUP($C243,$BZ$2:$CM$3,2,0)</f>
        <v>463.22</v>
      </c>
      <c r="G243" s="113">
        <f>D243*E243*F243</f>
        <v>0</v>
      </c>
      <c r="H243" s="166"/>
      <c r="I243" s="114" t="s">
        <v>495</v>
      </c>
      <c r="J243" s="114" t="str">
        <f>VLOOKUP(I243,Presupuesto!$B$11:$C$565,2,0)</f>
        <v>SUELDOS Y SALARIOS PERMANENTES</v>
      </c>
      <c r="K243" s="98" t="str">
        <f t="shared" si="5"/>
        <v>Posgrado</v>
      </c>
      <c r="L243" s="98" t="s">
        <v>394</v>
      </c>
    </row>
    <row r="244" spans="3:12" x14ac:dyDescent="0.25">
      <c r="C244" s="171" t="s">
        <v>58</v>
      </c>
      <c r="D244" s="163"/>
      <c r="E244" s="154">
        <v>0</v>
      </c>
      <c r="F244" s="100">
        <f>IF(E243=0,"",(G243/E243)/12*E243)</f>
        <v>0</v>
      </c>
      <c r="G244" s="97">
        <f>F244</f>
        <v>0</v>
      </c>
      <c r="H244" s="164"/>
      <c r="I244" s="116" t="s">
        <v>515</v>
      </c>
      <c r="J244" s="116" t="str">
        <f>VLOOKUP(I244,Presupuesto!$B$11:$C$565,2,0)</f>
        <v>AGUINALDO Y DECIMO CUARTO MES</v>
      </c>
      <c r="K244" s="98" t="str">
        <f t="shared" si="5"/>
        <v>Posgrado</v>
      </c>
      <c r="L244" s="98" t="s">
        <v>394</v>
      </c>
    </row>
    <row r="245" spans="3:12" ht="15.75" thickBot="1" x14ac:dyDescent="0.3">
      <c r="C245" s="172" t="s">
        <v>59</v>
      </c>
      <c r="D245" s="163"/>
      <c r="E245" s="154">
        <v>0</v>
      </c>
      <c r="F245" s="117">
        <f>IF(E243&lt;6,"",((E243-6)/12)*(G243/E243))</f>
        <v>0</v>
      </c>
      <c r="G245" s="97">
        <f>F245</f>
        <v>0</v>
      </c>
      <c r="H245" s="164"/>
      <c r="I245" s="101" t="s">
        <v>518</v>
      </c>
      <c r="J245" s="101" t="str">
        <f>VLOOKUP(I245,Presupuesto!$B$11:$C$565,2,0)</f>
        <v>DECIMOCUARTO MES</v>
      </c>
      <c r="K245" s="98" t="str">
        <f t="shared" si="5"/>
        <v>Posgrado</v>
      </c>
      <c r="L245" s="98" t="s">
        <v>394</v>
      </c>
    </row>
    <row r="246" spans="3:12" ht="15.75" thickBot="1" x14ac:dyDescent="0.3">
      <c r="C246" s="137" t="s">
        <v>494</v>
      </c>
      <c r="D246" s="199"/>
      <c r="E246" s="152">
        <v>12</v>
      </c>
      <c r="F246" s="303">
        <f>HLOOKUP($C246,$BZ$2:$CM$3,2,0)</f>
        <v>2007.3</v>
      </c>
      <c r="G246" s="113">
        <f>D246*E246*F246</f>
        <v>0</v>
      </c>
      <c r="H246" s="166"/>
      <c r="I246" s="114" t="s">
        <v>495</v>
      </c>
      <c r="J246" s="114" t="str">
        <f>VLOOKUP(I246,Presupuesto!$B$11:$C$565,2,0)</f>
        <v>SUELDOS Y SALARIOS PERMANENTES</v>
      </c>
      <c r="K246" s="98" t="str">
        <f t="shared" si="5"/>
        <v>Posgrado</v>
      </c>
      <c r="L246" s="98" t="s">
        <v>394</v>
      </c>
    </row>
    <row r="247" spans="3:12" x14ac:dyDescent="0.25">
      <c r="C247" s="171" t="s">
        <v>58</v>
      </c>
      <c r="D247" s="163"/>
      <c r="E247" s="154">
        <v>0</v>
      </c>
      <c r="F247" s="100">
        <f>IF(E246=0,"",(G246/E246)/12*E246)</f>
        <v>0</v>
      </c>
      <c r="G247" s="97">
        <f>F247</f>
        <v>0</v>
      </c>
      <c r="H247" s="164"/>
      <c r="I247" s="116" t="s">
        <v>515</v>
      </c>
      <c r="J247" s="116" t="str">
        <f>VLOOKUP(I247,Presupuesto!$B$11:$C$565,2,0)</f>
        <v>AGUINALDO Y DECIMO CUARTO MES</v>
      </c>
      <c r="K247" s="98" t="str">
        <f t="shared" si="5"/>
        <v>Posgrado</v>
      </c>
      <c r="L247" s="98" t="s">
        <v>394</v>
      </c>
    </row>
    <row r="248" spans="3:12" ht="15.75" thickBot="1" x14ac:dyDescent="0.3">
      <c r="C248" s="172" t="s">
        <v>59</v>
      </c>
      <c r="D248" s="163"/>
      <c r="E248" s="154">
        <v>0</v>
      </c>
      <c r="F248" s="117">
        <f>IF(E246&lt;6,"",((E246-6)/12)*(G246/E246))</f>
        <v>0</v>
      </c>
      <c r="G248" s="97">
        <f>F248</f>
        <v>0</v>
      </c>
      <c r="H248" s="164"/>
      <c r="I248" s="101" t="s">
        <v>518</v>
      </c>
      <c r="J248" s="101" t="str">
        <f>VLOOKUP(I248,Presupuesto!$B$11:$C$565,2,0)</f>
        <v>DECIMOCUARTO MES</v>
      </c>
      <c r="K248" s="98" t="str">
        <f t="shared" si="5"/>
        <v>Posgrado</v>
      </c>
      <c r="L248" s="98" t="s">
        <v>394</v>
      </c>
    </row>
    <row r="249" spans="3:12" ht="15.75" thickBot="1" x14ac:dyDescent="0.3">
      <c r="C249" s="140" t="s">
        <v>83</v>
      </c>
      <c r="D249" s="199"/>
      <c r="E249" s="152">
        <v>12</v>
      </c>
      <c r="F249" s="139">
        <v>30000</v>
      </c>
      <c r="G249" s="113">
        <f>D249*E249*F249</f>
        <v>0</v>
      </c>
      <c r="H249" s="166"/>
      <c r="I249" s="114" t="s">
        <v>563</v>
      </c>
      <c r="J249" s="114" t="str">
        <f>VLOOKUP(I249,Presupuesto!$B$11:$C$565,2,0)</f>
        <v>CONTRATOS ESPECIALES</v>
      </c>
      <c r="K249" s="98" t="str">
        <f t="shared" si="5"/>
        <v>Posgrado</v>
      </c>
      <c r="L249" s="98" t="s">
        <v>394</v>
      </c>
    </row>
    <row r="250" spans="3:12" x14ac:dyDescent="0.25">
      <c r="C250" s="171" t="s">
        <v>58</v>
      </c>
      <c r="D250" s="163"/>
      <c r="E250" s="154">
        <v>0</v>
      </c>
      <c r="F250" s="117">
        <f>IF(E249=0,"",(G249/E249)/12*E249)</f>
        <v>0</v>
      </c>
      <c r="G250" s="97">
        <f>F250</f>
        <v>0</v>
      </c>
      <c r="H250" s="164"/>
      <c r="I250" s="101" t="s">
        <v>563</v>
      </c>
      <c r="J250" s="101" t="str">
        <f>VLOOKUP(I250,Presupuesto!$B$11:$C$565,2,0)</f>
        <v>CONTRATOS ESPECIALES</v>
      </c>
      <c r="K250" s="98" t="str">
        <f t="shared" si="5"/>
        <v>Posgrado</v>
      </c>
      <c r="L250" s="98" t="s">
        <v>393</v>
      </c>
    </row>
    <row r="251" spans="3:12" ht="15.75" thickBot="1" x14ac:dyDescent="0.3">
      <c r="C251" s="172" t="s">
        <v>59</v>
      </c>
      <c r="D251" s="163"/>
      <c r="E251" s="154">
        <v>0</v>
      </c>
      <c r="F251" s="100">
        <f>IF(E249&lt;6,"",((E249-6)/12)*(G249/E249))</f>
        <v>0</v>
      </c>
      <c r="G251" s="97">
        <f>F251</f>
        <v>0</v>
      </c>
      <c r="H251" s="164"/>
      <c r="I251" s="101" t="s">
        <v>563</v>
      </c>
      <c r="J251" s="101" t="str">
        <f>VLOOKUP(I251,Presupuesto!$B$11:$C$565,2,0)</f>
        <v>CONTRATOS ESPECIALES</v>
      </c>
      <c r="K251" s="98" t="str">
        <f t="shared" si="5"/>
        <v>Posgrado</v>
      </c>
      <c r="L251" s="98" t="s">
        <v>398</v>
      </c>
    </row>
    <row r="252" spans="3:12" ht="15.75" thickBot="1" x14ac:dyDescent="0.3">
      <c r="C252" s="140" t="s">
        <v>60</v>
      </c>
      <c r="D252" s="199"/>
      <c r="E252" s="152">
        <v>12</v>
      </c>
      <c r="F252" s="118">
        <v>30000</v>
      </c>
      <c r="G252" s="113">
        <f>D252*E252*F252</f>
        <v>0</v>
      </c>
      <c r="H252" s="166"/>
      <c r="I252" s="114" t="s">
        <v>704</v>
      </c>
      <c r="J252" s="114" t="str">
        <f>VLOOKUP(I252,Presupuesto!$B$11:$C$565,2,0)</f>
        <v>OTROS SERVICIOS TECNICOS Y PROFESIONALES</v>
      </c>
      <c r="K252" s="98" t="str">
        <f t="shared" si="5"/>
        <v>Posgrado</v>
      </c>
      <c r="L252" s="98" t="s">
        <v>393</v>
      </c>
    </row>
    <row r="253" spans="3:12" x14ac:dyDescent="0.25">
      <c r="C253" s="171" t="s">
        <v>58</v>
      </c>
      <c r="D253" s="163"/>
      <c r="E253" s="154">
        <v>0</v>
      </c>
      <c r="F253" s="100">
        <v>0</v>
      </c>
      <c r="G253" s="97">
        <f>F253</f>
        <v>0</v>
      </c>
      <c r="H253" s="164"/>
      <c r="I253" s="101" t="s">
        <v>704</v>
      </c>
      <c r="J253" s="101" t="str">
        <f>VLOOKUP(I253,Presupuesto!$B$11:$C$565,2,0)</f>
        <v>OTROS SERVICIOS TECNICOS Y PROFESIONALES</v>
      </c>
      <c r="K253" s="98" t="str">
        <f t="shared" si="5"/>
        <v>Posgrado</v>
      </c>
      <c r="L253" s="98" t="s">
        <v>393</v>
      </c>
    </row>
    <row r="254" spans="3:12" ht="15.75" thickBot="1" x14ac:dyDescent="0.3">
      <c r="C254" s="172" t="s">
        <v>59</v>
      </c>
      <c r="D254" s="163"/>
      <c r="E254" s="154">
        <v>0</v>
      </c>
      <c r="F254" s="100">
        <v>0</v>
      </c>
      <c r="G254" s="97">
        <f>F254</f>
        <v>0</v>
      </c>
      <c r="H254" s="164"/>
      <c r="I254" s="101" t="s">
        <v>704</v>
      </c>
      <c r="J254" s="101" t="str">
        <f>VLOOKUP(I254,Presupuesto!$B$11:$C$565,2,0)</f>
        <v>OTROS SERVICIOS TECNICOS Y PROFESIONALES</v>
      </c>
      <c r="K254" s="98" t="str">
        <f t="shared" si="5"/>
        <v>Posgrado</v>
      </c>
      <c r="L254" s="98" t="s">
        <v>393</v>
      </c>
    </row>
    <row r="255" spans="3:12" ht="15.75" thickBot="1" x14ac:dyDescent="0.3">
      <c r="C255" s="140" t="s">
        <v>61</v>
      </c>
      <c r="D255" s="199"/>
      <c r="E255" s="152">
        <v>12</v>
      </c>
      <c r="F255" s="118">
        <v>30000</v>
      </c>
      <c r="G255" s="113">
        <f>D255*E255*F255</f>
        <v>0</v>
      </c>
      <c r="H255" s="166"/>
      <c r="I255" s="114" t="s">
        <v>495</v>
      </c>
      <c r="J255" s="114" t="str">
        <f>VLOOKUP(I255,Presupuesto!$B$11:$C$565,2,0)</f>
        <v>SUELDOS Y SALARIOS PERMANENTES</v>
      </c>
      <c r="K255" s="98" t="str">
        <f t="shared" si="5"/>
        <v>Posgrado</v>
      </c>
      <c r="L255" s="98" t="s">
        <v>393</v>
      </c>
    </row>
    <row r="256" spans="3:12" x14ac:dyDescent="0.25">
      <c r="C256" s="171" t="s">
        <v>58</v>
      </c>
      <c r="D256" s="169"/>
      <c r="E256" s="131">
        <v>0</v>
      </c>
      <c r="F256" s="119">
        <f>IF(E255=0,"",(G255/E255)/12*E255)</f>
        <v>0</v>
      </c>
      <c r="G256" s="120">
        <f>F256</f>
        <v>0</v>
      </c>
      <c r="H256" s="164"/>
      <c r="I256" s="101" t="s">
        <v>515</v>
      </c>
      <c r="J256" s="101" t="str">
        <f>VLOOKUP(I256,Presupuesto!$B$11:$C$565,2,0)</f>
        <v>AGUINALDO Y DECIMO CUARTO MES</v>
      </c>
      <c r="K256" s="98" t="str">
        <f t="shared" si="5"/>
        <v>Posgrado</v>
      </c>
      <c r="L256" s="98" t="s">
        <v>393</v>
      </c>
    </row>
    <row r="257" spans="3:12" ht="15.75" thickBot="1" x14ac:dyDescent="0.3">
      <c r="C257" s="173" t="s">
        <v>59</v>
      </c>
      <c r="D257" s="162"/>
      <c r="E257" s="132">
        <v>0</v>
      </c>
      <c r="F257" s="105">
        <f>IF(E255&lt;6,"",((E255-6)/12)*(G255/E255))</f>
        <v>0</v>
      </c>
      <c r="G257" s="105">
        <f>F257</f>
        <v>0</v>
      </c>
      <c r="H257" s="162"/>
      <c r="I257" s="106" t="s">
        <v>518</v>
      </c>
      <c r="J257" s="124" t="str">
        <f>VLOOKUP(I257,Presupuesto!$B$11:$C$565,2,0)</f>
        <v>DECIMOCUARTO MES</v>
      </c>
      <c r="K257" s="106" t="str">
        <f t="shared" si="5"/>
        <v>Posgrado</v>
      </c>
      <c r="L257" s="124" t="s">
        <v>393</v>
      </c>
    </row>
    <row r="259" spans="3:12" ht="15.75" thickBot="1" x14ac:dyDescent="0.3">
      <c r="K259" s="153"/>
    </row>
    <row r="260" spans="3:12" ht="15.75" thickBot="1" x14ac:dyDescent="0.3">
      <c r="C260" s="69" t="s">
        <v>43</v>
      </c>
      <c r="D260" s="30">
        <f>SUM(G267:G317)</f>
        <v>0</v>
      </c>
      <c r="E260" s="93"/>
      <c r="F260" s="93"/>
      <c r="G260" s="93"/>
      <c r="H260" s="76"/>
      <c r="I260" s="76"/>
      <c r="J260" s="76"/>
      <c r="K260" s="153"/>
    </row>
    <row r="261" spans="3:12" x14ac:dyDescent="0.25">
      <c r="D261" s="31"/>
      <c r="E261" s="93"/>
      <c r="F261" s="93"/>
      <c r="G261" s="93"/>
      <c r="H261" s="76"/>
      <c r="I261" s="76"/>
      <c r="J261" s="76"/>
      <c r="K261" s="153"/>
    </row>
    <row r="262" spans="3:12" x14ac:dyDescent="0.25">
      <c r="D262" s="31"/>
      <c r="E262" s="93"/>
      <c r="F262" s="93"/>
      <c r="G262" s="93"/>
      <c r="H262" s="76"/>
      <c r="I262" s="76"/>
      <c r="J262" s="76"/>
      <c r="K262" s="153"/>
    </row>
    <row r="263" spans="3:12" ht="15.75" x14ac:dyDescent="0.25">
      <c r="C263" s="202" t="s">
        <v>391</v>
      </c>
      <c r="D263" s="368"/>
      <c r="E263" s="93"/>
      <c r="F263" s="93"/>
      <c r="G263" s="93"/>
      <c r="H263" s="76"/>
      <c r="I263" s="76"/>
      <c r="J263" s="76"/>
      <c r="K263" s="153"/>
    </row>
    <row r="264" spans="3:12" ht="18.75" x14ac:dyDescent="0.25">
      <c r="C264" s="210" t="e">
        <f>IFERROR(VLOOKUP(D263,'1. Desarrollo e Innov. Curricu.'!$F:$G,2,FALSE),IFERROR(VLOOKUP(D263,'2. Investigación Científica'!$F:$G,2,FALSE),IFERROR(VLOOKUP(D263,'3. Vinculación Univ. Sociedad'!$F:$G,2,FALSE),IFERROR(VLOOKUP(D263,'4. Docencia y Profesorado Univ.'!$F:$G,2,FALSE),IFERROR(VLOOKUP(D263,'5. Estudiantes y Graduados'!$F:$G,2,FALSE),IFERROR(VLOOKUP(D263,'11. Gestion Administrativa'!$F:$G,2,FALSE),IFERROR(VLOOKUP(D263,'13. Gestión Académica'!$F:$G,2,FALSE),IFERROR(VLOOKUP(D263,'9. Asegura. de la Calid. y M'!$F:$G,2,FALSE),IFERROR(VLOOKUP(D263,'6. Gestión del Conocimiento'!$F:$G,2,FALSE),IFERROR(VLOOKUP(D263,'15. Gobernabilidad y Proceso...'!$F:$G,2,FALSE),IFERROR(VLOOKUP(D263,'12. Gestión del Talento Humano'!$F:$G,2,FALSE),IFERROR(VLOOKUP(D263,'14. Internacional... de la E.S.'!$F:$G,2,FALSE),IFERROR(VLOOKUP(D263,'10. Posgrado'!$F:$G,2,FALSE),IFERROR(VLOOKUP(D263,'17. Gestión TIC'!$F:$G,2,FALSE),IFERROR(VLOOKUP(D263,'16. Desa. del Sistema Educ.Sup.'!$F:$G,2,FALSE),IFERROR(VLOOKUP(D263,'8. Cultura de Inno. Insti...'!$F:$G,2,FALSE),VLOOKUP(D263,'7. Lo Esencial de la Reforma U.'!$F:$G,2,0)))))))))))))))))</f>
        <v>#N/A</v>
      </c>
      <c r="D264" s="31"/>
      <c r="E264" s="93"/>
      <c r="F264" s="93"/>
      <c r="G264" s="93"/>
      <c r="H264" s="76"/>
      <c r="I264" s="76"/>
      <c r="J264" s="76"/>
      <c r="K264" s="153"/>
    </row>
    <row r="265" spans="3:12" ht="15.75" thickBot="1" x14ac:dyDescent="0.3">
      <c r="C265" s="177"/>
      <c r="D265" s="31"/>
      <c r="E265" s="93"/>
      <c r="F265" s="93"/>
      <c r="G265" s="93"/>
      <c r="H265" s="76"/>
      <c r="I265" s="76"/>
      <c r="J265" s="76"/>
      <c r="K265" s="153"/>
    </row>
    <row r="266" spans="3:12" ht="30.75" thickBot="1" x14ac:dyDescent="0.3">
      <c r="C266" s="134" t="s">
        <v>44</v>
      </c>
      <c r="D266" s="138" t="s">
        <v>55</v>
      </c>
      <c r="E266" s="170" t="s">
        <v>56</v>
      </c>
      <c r="F266" s="138" t="s">
        <v>57</v>
      </c>
      <c r="G266" s="135" t="s">
        <v>27</v>
      </c>
      <c r="H266" s="133" t="s">
        <v>130</v>
      </c>
      <c r="I266" s="136" t="s">
        <v>46</v>
      </c>
      <c r="J266" s="136" t="s">
        <v>131</v>
      </c>
      <c r="K266" s="136" t="s">
        <v>409</v>
      </c>
      <c r="L266" s="136" t="s">
        <v>410</v>
      </c>
    </row>
    <row r="267" spans="3:12" ht="15.75" thickBot="1" x14ac:dyDescent="0.3">
      <c r="C267" s="137" t="s">
        <v>481</v>
      </c>
      <c r="D267" s="199"/>
      <c r="E267" s="152">
        <v>12</v>
      </c>
      <c r="F267" s="303">
        <f>HLOOKUP($C267,$BZ$2:$CM$3,2,0)</f>
        <v>43674.39</v>
      </c>
      <c r="G267" s="113">
        <f>D267*E267*F267</f>
        <v>0</v>
      </c>
      <c r="H267" s="166"/>
      <c r="I267" s="114" t="s">
        <v>495</v>
      </c>
      <c r="J267" s="114" t="str">
        <f>VLOOKUP(I267,Presupuesto!$B$11:$C$565,2,0)</f>
        <v>SUELDOS Y SALARIOS PERMANENTES</v>
      </c>
      <c r="K267" s="218" t="s">
        <v>1449</v>
      </c>
      <c r="L267" s="98" t="s">
        <v>393</v>
      </c>
    </row>
    <row r="268" spans="3:12" x14ac:dyDescent="0.25">
      <c r="C268" s="171" t="s">
        <v>58</v>
      </c>
      <c r="D268" s="163"/>
      <c r="E268" s="154">
        <v>0</v>
      </c>
      <c r="F268" s="100">
        <f>IF(E267=0,"",(G267/E267)/12*E267)</f>
        <v>0</v>
      </c>
      <c r="G268" s="97">
        <f>F268</f>
        <v>0</v>
      </c>
      <c r="H268" s="164"/>
      <c r="I268" s="116" t="s">
        <v>515</v>
      </c>
      <c r="J268" s="116" t="str">
        <f>VLOOKUP(I268,Presupuesto!$B$11:$C$565,2,0)</f>
        <v>AGUINALDO Y DECIMO CUARTO MES</v>
      </c>
      <c r="K268" s="98" t="str">
        <f t="shared" ref="K268:K299" si="6">$K$267</f>
        <v>Posgrado</v>
      </c>
      <c r="L268" s="98" t="s">
        <v>411</v>
      </c>
    </row>
    <row r="269" spans="3:12" ht="15.75" thickBot="1" x14ac:dyDescent="0.3">
      <c r="C269" s="172" t="s">
        <v>59</v>
      </c>
      <c r="D269" s="163"/>
      <c r="E269" s="154">
        <v>0</v>
      </c>
      <c r="F269" s="117">
        <f>IF(E267&lt;6,"",((E267-6)/12)*(G267/E267))</f>
        <v>0</v>
      </c>
      <c r="G269" s="97">
        <f>F269</f>
        <v>0</v>
      </c>
      <c r="H269" s="164"/>
      <c r="I269" s="101" t="s">
        <v>518</v>
      </c>
      <c r="J269" s="101" t="str">
        <f>VLOOKUP(I269,Presupuesto!$B$11:$C$565,2,0)</f>
        <v>DECIMOCUARTO MES</v>
      </c>
      <c r="K269" s="98" t="str">
        <f t="shared" si="6"/>
        <v>Posgrado</v>
      </c>
      <c r="L269" s="98" t="s">
        <v>394</v>
      </c>
    </row>
    <row r="270" spans="3:12" ht="15.75" thickBot="1" x14ac:dyDescent="0.3">
      <c r="C270" s="137" t="s">
        <v>482</v>
      </c>
      <c r="D270" s="199"/>
      <c r="E270" s="152">
        <v>12</v>
      </c>
      <c r="F270" s="303">
        <f>HLOOKUP($C270,$BZ$2:$CM$3,2,0)</f>
        <v>39703.99</v>
      </c>
      <c r="G270" s="113">
        <f>D270*E270*F270</f>
        <v>0</v>
      </c>
      <c r="H270" s="166"/>
      <c r="I270" s="114" t="s">
        <v>495</v>
      </c>
      <c r="J270" s="114" t="str">
        <f>VLOOKUP(I270,Presupuesto!$B$11:$C$565,2,0)</f>
        <v>SUELDOS Y SALARIOS PERMANENTES</v>
      </c>
      <c r="K270" s="98" t="str">
        <f t="shared" si="6"/>
        <v>Posgrado</v>
      </c>
      <c r="L270" s="98" t="s">
        <v>394</v>
      </c>
    </row>
    <row r="271" spans="3:12" x14ac:dyDescent="0.25">
      <c r="C271" s="171" t="s">
        <v>58</v>
      </c>
      <c r="D271" s="163"/>
      <c r="E271" s="154">
        <v>0</v>
      </c>
      <c r="F271" s="100">
        <f>IF(E270=0,"",(G270/E270)/12*E270)</f>
        <v>0</v>
      </c>
      <c r="G271" s="97">
        <f>F271</f>
        <v>0</v>
      </c>
      <c r="H271" s="164"/>
      <c r="I271" s="116" t="s">
        <v>515</v>
      </c>
      <c r="J271" s="116" t="str">
        <f>VLOOKUP(I271,Presupuesto!$B$11:$C$565,2,0)</f>
        <v>AGUINALDO Y DECIMO CUARTO MES</v>
      </c>
      <c r="K271" s="98" t="str">
        <f t="shared" si="6"/>
        <v>Posgrado</v>
      </c>
      <c r="L271" s="98" t="s">
        <v>394</v>
      </c>
    </row>
    <row r="272" spans="3:12" ht="15.75" thickBot="1" x14ac:dyDescent="0.3">
      <c r="C272" s="172" t="s">
        <v>59</v>
      </c>
      <c r="D272" s="163"/>
      <c r="E272" s="154">
        <v>0</v>
      </c>
      <c r="F272" s="117">
        <f>IF(E270&lt;6,"",((E270-6)/12)*(G270/E270))</f>
        <v>0</v>
      </c>
      <c r="G272" s="97">
        <f>F272</f>
        <v>0</v>
      </c>
      <c r="H272" s="164"/>
      <c r="I272" s="101" t="s">
        <v>518</v>
      </c>
      <c r="J272" s="101" t="str">
        <f>VLOOKUP(I272,Presupuesto!$B$11:$C$565,2,0)</f>
        <v>DECIMOCUARTO MES</v>
      </c>
      <c r="K272" s="98" t="str">
        <f t="shared" si="6"/>
        <v>Posgrado</v>
      </c>
      <c r="L272" s="98" t="s">
        <v>394</v>
      </c>
    </row>
    <row r="273" spans="3:12" ht="15.75" thickBot="1" x14ac:dyDescent="0.3">
      <c r="C273" s="137" t="s">
        <v>483</v>
      </c>
      <c r="D273" s="199"/>
      <c r="E273" s="152">
        <v>12</v>
      </c>
      <c r="F273" s="303">
        <f>HLOOKUP($C273,$BZ$2:$CM$3,2,0)</f>
        <v>35733.589999999997</v>
      </c>
      <c r="G273" s="113">
        <f>D273*E273*F273</f>
        <v>0</v>
      </c>
      <c r="H273" s="166"/>
      <c r="I273" s="114" t="s">
        <v>495</v>
      </c>
      <c r="J273" s="114" t="str">
        <f>VLOOKUP(I273,Presupuesto!$B$11:$C$565,2,0)</f>
        <v>SUELDOS Y SALARIOS PERMANENTES</v>
      </c>
      <c r="K273" s="98" t="str">
        <f t="shared" si="6"/>
        <v>Posgrado</v>
      </c>
      <c r="L273" s="98" t="s">
        <v>394</v>
      </c>
    </row>
    <row r="274" spans="3:12" x14ac:dyDescent="0.25">
      <c r="C274" s="171" t="s">
        <v>58</v>
      </c>
      <c r="D274" s="163"/>
      <c r="E274" s="154">
        <v>0</v>
      </c>
      <c r="F274" s="100">
        <f>IF(E273=0,"",(G273/E273)/12*E273)</f>
        <v>0</v>
      </c>
      <c r="G274" s="97">
        <f>F274</f>
        <v>0</v>
      </c>
      <c r="H274" s="164"/>
      <c r="I274" s="116" t="s">
        <v>515</v>
      </c>
      <c r="J274" s="116" t="str">
        <f>VLOOKUP(I274,Presupuesto!$B$11:$C$565,2,0)</f>
        <v>AGUINALDO Y DECIMO CUARTO MES</v>
      </c>
      <c r="K274" s="98" t="str">
        <f t="shared" si="6"/>
        <v>Posgrado</v>
      </c>
      <c r="L274" s="98" t="s">
        <v>394</v>
      </c>
    </row>
    <row r="275" spans="3:12" ht="15.75" thickBot="1" x14ac:dyDescent="0.3">
      <c r="C275" s="172" t="s">
        <v>59</v>
      </c>
      <c r="D275" s="163"/>
      <c r="E275" s="154">
        <v>0</v>
      </c>
      <c r="F275" s="117">
        <f>IF(E273&lt;6,"",((E273-6)/12)*(G273/E273))</f>
        <v>0</v>
      </c>
      <c r="G275" s="97">
        <f>F275</f>
        <v>0</v>
      </c>
      <c r="H275" s="164"/>
      <c r="I275" s="101" t="s">
        <v>518</v>
      </c>
      <c r="J275" s="101" t="str">
        <f>VLOOKUP(I275,Presupuesto!$B$11:$C$565,2,0)</f>
        <v>DECIMOCUARTO MES</v>
      </c>
      <c r="K275" s="98" t="str">
        <f t="shared" si="6"/>
        <v>Posgrado</v>
      </c>
      <c r="L275" s="98" t="s">
        <v>394</v>
      </c>
    </row>
    <row r="276" spans="3:12" ht="15.75" thickBot="1" x14ac:dyDescent="0.3">
      <c r="C276" s="137" t="s">
        <v>484</v>
      </c>
      <c r="D276" s="199"/>
      <c r="E276" s="152">
        <v>12</v>
      </c>
      <c r="F276" s="303">
        <f>HLOOKUP($C276,$BZ$2:$CM$3,2,0)</f>
        <v>31763.19</v>
      </c>
      <c r="G276" s="113">
        <f>D276*E276*F276</f>
        <v>0</v>
      </c>
      <c r="H276" s="166"/>
      <c r="I276" s="114" t="s">
        <v>495</v>
      </c>
      <c r="J276" s="114" t="str">
        <f>VLOOKUP(I276,Presupuesto!$B$11:$C$565,2,0)</f>
        <v>SUELDOS Y SALARIOS PERMANENTES</v>
      </c>
      <c r="K276" s="98" t="str">
        <f t="shared" si="6"/>
        <v>Posgrado</v>
      </c>
      <c r="L276" s="98" t="s">
        <v>394</v>
      </c>
    </row>
    <row r="277" spans="3:12" x14ac:dyDescent="0.25">
      <c r="C277" s="171" t="s">
        <v>58</v>
      </c>
      <c r="D277" s="163"/>
      <c r="E277" s="154">
        <v>0</v>
      </c>
      <c r="F277" s="100">
        <f>IF(E276=0,"",(G276/E276)/12*E276)</f>
        <v>0</v>
      </c>
      <c r="G277" s="97">
        <f>F277</f>
        <v>0</v>
      </c>
      <c r="H277" s="164"/>
      <c r="I277" s="116" t="s">
        <v>515</v>
      </c>
      <c r="J277" s="116" t="str">
        <f>VLOOKUP(I277,Presupuesto!$B$11:$C$565,2,0)</f>
        <v>AGUINALDO Y DECIMO CUARTO MES</v>
      </c>
      <c r="K277" s="98" t="str">
        <f t="shared" si="6"/>
        <v>Posgrado</v>
      </c>
      <c r="L277" s="98" t="s">
        <v>394</v>
      </c>
    </row>
    <row r="278" spans="3:12" ht="15.75" thickBot="1" x14ac:dyDescent="0.3">
      <c r="C278" s="172" t="s">
        <v>59</v>
      </c>
      <c r="D278" s="163"/>
      <c r="E278" s="154">
        <v>0</v>
      </c>
      <c r="F278" s="117">
        <f>IF(E276&lt;6,"",((E276-6)/12)*(G276/E276))</f>
        <v>0</v>
      </c>
      <c r="G278" s="97">
        <f>F278</f>
        <v>0</v>
      </c>
      <c r="H278" s="164"/>
      <c r="I278" s="101" t="s">
        <v>518</v>
      </c>
      <c r="J278" s="101" t="str">
        <f>VLOOKUP(I278,Presupuesto!$B$11:$C$565,2,0)</f>
        <v>DECIMOCUARTO MES</v>
      </c>
      <c r="K278" s="98" t="str">
        <f t="shared" si="6"/>
        <v>Posgrado</v>
      </c>
      <c r="L278" s="98" t="s">
        <v>394</v>
      </c>
    </row>
    <row r="279" spans="3:12" ht="15.75" thickBot="1" x14ac:dyDescent="0.3">
      <c r="C279" s="137" t="s">
        <v>485</v>
      </c>
      <c r="D279" s="199"/>
      <c r="E279" s="152">
        <v>12</v>
      </c>
      <c r="F279" s="303">
        <f>HLOOKUP($C279,$BZ$2:$CM$3,2,0)</f>
        <v>29777.99</v>
      </c>
      <c r="G279" s="113">
        <f>D279*E279*F279</f>
        <v>0</v>
      </c>
      <c r="H279" s="166"/>
      <c r="I279" s="114" t="s">
        <v>495</v>
      </c>
      <c r="J279" s="114" t="str">
        <f>VLOOKUP(I279,Presupuesto!$B$11:$C$565,2,0)</f>
        <v>SUELDOS Y SALARIOS PERMANENTES</v>
      </c>
      <c r="K279" s="98" t="str">
        <f t="shared" si="6"/>
        <v>Posgrado</v>
      </c>
      <c r="L279" s="98" t="s">
        <v>394</v>
      </c>
    </row>
    <row r="280" spans="3:12" x14ac:dyDescent="0.25">
      <c r="C280" s="171" t="s">
        <v>58</v>
      </c>
      <c r="D280" s="163"/>
      <c r="E280" s="154">
        <v>0</v>
      </c>
      <c r="F280" s="100">
        <f>IF(E279=0,"",(G279/E279)/12*E279)</f>
        <v>0</v>
      </c>
      <c r="G280" s="97">
        <f>F280</f>
        <v>0</v>
      </c>
      <c r="H280" s="164"/>
      <c r="I280" s="116" t="s">
        <v>515</v>
      </c>
      <c r="J280" s="116" t="str">
        <f>VLOOKUP(I280,Presupuesto!$B$11:$C$565,2,0)</f>
        <v>AGUINALDO Y DECIMO CUARTO MES</v>
      </c>
      <c r="K280" s="98" t="str">
        <f t="shared" si="6"/>
        <v>Posgrado</v>
      </c>
      <c r="L280" s="98" t="s">
        <v>394</v>
      </c>
    </row>
    <row r="281" spans="3:12" ht="15.75" thickBot="1" x14ac:dyDescent="0.3">
      <c r="C281" s="172" t="s">
        <v>59</v>
      </c>
      <c r="D281" s="163"/>
      <c r="E281" s="154">
        <v>0</v>
      </c>
      <c r="F281" s="117">
        <f>IF(E279&lt;6,"",((E279-6)/12)*(G279/E279))</f>
        <v>0</v>
      </c>
      <c r="G281" s="97">
        <f>F281</f>
        <v>0</v>
      </c>
      <c r="H281" s="164"/>
      <c r="I281" s="101" t="s">
        <v>518</v>
      </c>
      <c r="J281" s="101" t="str">
        <f>VLOOKUP(I281,Presupuesto!$B$11:$C$565,2,0)</f>
        <v>DECIMOCUARTO MES</v>
      </c>
      <c r="K281" s="98" t="str">
        <f t="shared" si="6"/>
        <v>Posgrado</v>
      </c>
      <c r="L281" s="98" t="s">
        <v>394</v>
      </c>
    </row>
    <row r="282" spans="3:12" ht="15.75" thickBot="1" x14ac:dyDescent="0.3">
      <c r="C282" s="137" t="s">
        <v>486</v>
      </c>
      <c r="D282" s="199"/>
      <c r="E282" s="152">
        <v>12</v>
      </c>
      <c r="F282" s="303">
        <f>HLOOKUP($C282,$BZ$2:$CM$3,2,0)</f>
        <v>27792.79</v>
      </c>
      <c r="G282" s="113">
        <f>D282*E282*F282</f>
        <v>0</v>
      </c>
      <c r="H282" s="166"/>
      <c r="I282" s="114" t="s">
        <v>495</v>
      </c>
      <c r="J282" s="114" t="str">
        <f>VLOOKUP(I282,Presupuesto!$B$11:$C$565,2,0)</f>
        <v>SUELDOS Y SALARIOS PERMANENTES</v>
      </c>
      <c r="K282" s="98" t="str">
        <f t="shared" si="6"/>
        <v>Posgrado</v>
      </c>
      <c r="L282" s="98" t="s">
        <v>394</v>
      </c>
    </row>
    <row r="283" spans="3:12" x14ac:dyDescent="0.25">
      <c r="C283" s="171" t="s">
        <v>58</v>
      </c>
      <c r="D283" s="163"/>
      <c r="E283" s="154">
        <v>0</v>
      </c>
      <c r="F283" s="100">
        <f>IF(E282=0,"",(G282/E282)/12*E282)</f>
        <v>0</v>
      </c>
      <c r="G283" s="97">
        <f>F283</f>
        <v>0</v>
      </c>
      <c r="H283" s="164"/>
      <c r="I283" s="116" t="s">
        <v>515</v>
      </c>
      <c r="J283" s="116" t="str">
        <f>VLOOKUP(I283,Presupuesto!$B$11:$C$565,2,0)</f>
        <v>AGUINALDO Y DECIMO CUARTO MES</v>
      </c>
      <c r="K283" s="98" t="str">
        <f t="shared" si="6"/>
        <v>Posgrado</v>
      </c>
      <c r="L283" s="98" t="s">
        <v>394</v>
      </c>
    </row>
    <row r="284" spans="3:12" ht="15.75" thickBot="1" x14ac:dyDescent="0.3">
      <c r="C284" s="172" t="s">
        <v>59</v>
      </c>
      <c r="D284" s="163"/>
      <c r="E284" s="154">
        <v>0</v>
      </c>
      <c r="F284" s="117">
        <f>IF(E282&lt;6,"",((E282-6)/12)*(G282/E282))</f>
        <v>0</v>
      </c>
      <c r="G284" s="97">
        <f>F284</f>
        <v>0</v>
      </c>
      <c r="H284" s="164"/>
      <c r="I284" s="101" t="s">
        <v>518</v>
      </c>
      <c r="J284" s="101" t="str">
        <f>VLOOKUP(I284,Presupuesto!$B$11:$C$565,2,0)</f>
        <v>DECIMOCUARTO MES</v>
      </c>
      <c r="K284" s="98" t="str">
        <f t="shared" si="6"/>
        <v>Posgrado</v>
      </c>
      <c r="L284" s="98" t="s">
        <v>394</v>
      </c>
    </row>
    <row r="285" spans="3:12" ht="15.75" thickBot="1" x14ac:dyDescent="0.3">
      <c r="C285" s="137" t="s">
        <v>487</v>
      </c>
      <c r="D285" s="199"/>
      <c r="E285" s="152">
        <v>12</v>
      </c>
      <c r="F285" s="303">
        <f>HLOOKUP($C285,$BZ$2:$CM$3,2,0)</f>
        <v>18859.39</v>
      </c>
      <c r="G285" s="113">
        <f>D285*E285*F285</f>
        <v>0</v>
      </c>
      <c r="H285" s="166"/>
      <c r="I285" s="114" t="s">
        <v>495</v>
      </c>
      <c r="J285" s="114" t="str">
        <f>VLOOKUP(I285,Presupuesto!$B$11:$C$565,2,0)</f>
        <v>SUELDOS Y SALARIOS PERMANENTES</v>
      </c>
      <c r="K285" s="98" t="str">
        <f t="shared" si="6"/>
        <v>Posgrado</v>
      </c>
      <c r="L285" s="98" t="s">
        <v>394</v>
      </c>
    </row>
    <row r="286" spans="3:12" x14ac:dyDescent="0.25">
      <c r="C286" s="171" t="s">
        <v>58</v>
      </c>
      <c r="D286" s="163"/>
      <c r="E286" s="154">
        <v>0</v>
      </c>
      <c r="F286" s="100">
        <f>IF(E285=0,"",(G285/E285)/12*E285)</f>
        <v>0</v>
      </c>
      <c r="G286" s="97">
        <f>F286</f>
        <v>0</v>
      </c>
      <c r="H286" s="164"/>
      <c r="I286" s="116" t="s">
        <v>515</v>
      </c>
      <c r="J286" s="116" t="str">
        <f>VLOOKUP(I286,Presupuesto!$B$11:$C$565,2,0)</f>
        <v>AGUINALDO Y DECIMO CUARTO MES</v>
      </c>
      <c r="K286" s="98" t="str">
        <f t="shared" si="6"/>
        <v>Posgrado</v>
      </c>
      <c r="L286" s="98" t="s">
        <v>394</v>
      </c>
    </row>
    <row r="287" spans="3:12" ht="15.75" thickBot="1" x14ac:dyDescent="0.3">
      <c r="C287" s="172" t="s">
        <v>59</v>
      </c>
      <c r="D287" s="163"/>
      <c r="E287" s="154">
        <v>0</v>
      </c>
      <c r="F287" s="117">
        <f>IF(E285&lt;6,"",((E285-6)/12)*(G285/E285))</f>
        <v>0</v>
      </c>
      <c r="G287" s="97">
        <f>F287</f>
        <v>0</v>
      </c>
      <c r="H287" s="164"/>
      <c r="I287" s="101" t="s">
        <v>518</v>
      </c>
      <c r="J287" s="101" t="str">
        <f>VLOOKUP(I287,Presupuesto!$B$11:$C$565,2,0)</f>
        <v>DECIMOCUARTO MES</v>
      </c>
      <c r="K287" s="98" t="str">
        <f t="shared" si="6"/>
        <v>Posgrado</v>
      </c>
      <c r="L287" s="98" t="s">
        <v>394</v>
      </c>
    </row>
    <row r="288" spans="3:12" ht="15.75" thickBot="1" x14ac:dyDescent="0.3">
      <c r="C288" s="137" t="s">
        <v>488</v>
      </c>
      <c r="D288" s="199"/>
      <c r="E288" s="152">
        <v>12</v>
      </c>
      <c r="F288" s="303">
        <f>HLOOKUP($C288,$BZ$2:$CM$3,2,0)</f>
        <v>17866.8</v>
      </c>
      <c r="G288" s="113">
        <f>D288*E288*F288</f>
        <v>0</v>
      </c>
      <c r="H288" s="166"/>
      <c r="I288" s="114" t="s">
        <v>495</v>
      </c>
      <c r="J288" s="114" t="str">
        <f>VLOOKUP(I288,Presupuesto!$B$11:$C$565,2,0)</f>
        <v>SUELDOS Y SALARIOS PERMANENTES</v>
      </c>
      <c r="K288" s="98" t="str">
        <f t="shared" si="6"/>
        <v>Posgrado</v>
      </c>
      <c r="L288" s="98" t="s">
        <v>394</v>
      </c>
    </row>
    <row r="289" spans="3:12" x14ac:dyDescent="0.25">
      <c r="C289" s="171" t="s">
        <v>58</v>
      </c>
      <c r="D289" s="163"/>
      <c r="E289" s="154">
        <v>0</v>
      </c>
      <c r="F289" s="100">
        <f>IF(E288=0,"",(G288/E288)/12*E288)</f>
        <v>0</v>
      </c>
      <c r="G289" s="97">
        <f>F289</f>
        <v>0</v>
      </c>
      <c r="H289" s="164"/>
      <c r="I289" s="116" t="s">
        <v>515</v>
      </c>
      <c r="J289" s="116" t="str">
        <f>VLOOKUP(I289,Presupuesto!$B$11:$C$565,2,0)</f>
        <v>AGUINALDO Y DECIMO CUARTO MES</v>
      </c>
      <c r="K289" s="98" t="str">
        <f t="shared" si="6"/>
        <v>Posgrado</v>
      </c>
      <c r="L289" s="98" t="s">
        <v>394</v>
      </c>
    </row>
    <row r="290" spans="3:12" ht="15.75" thickBot="1" x14ac:dyDescent="0.3">
      <c r="C290" s="172" t="s">
        <v>59</v>
      </c>
      <c r="D290" s="163"/>
      <c r="E290" s="154">
        <v>0</v>
      </c>
      <c r="F290" s="117">
        <f>IF(E288&lt;6,"",((E288-6)/12)*(G288/E288))</f>
        <v>0</v>
      </c>
      <c r="G290" s="97">
        <f>F290</f>
        <v>0</v>
      </c>
      <c r="H290" s="164"/>
      <c r="I290" s="101" t="s">
        <v>518</v>
      </c>
      <c r="J290" s="101" t="str">
        <f>VLOOKUP(I290,Presupuesto!$B$11:$C$565,2,0)</f>
        <v>DECIMOCUARTO MES</v>
      </c>
      <c r="K290" s="98" t="str">
        <f t="shared" si="6"/>
        <v>Posgrado</v>
      </c>
      <c r="L290" s="98" t="s">
        <v>394</v>
      </c>
    </row>
    <row r="291" spans="3:12" ht="15.75" thickBot="1" x14ac:dyDescent="0.3">
      <c r="C291" s="137" t="s">
        <v>489</v>
      </c>
      <c r="D291" s="199"/>
      <c r="E291" s="152">
        <v>12</v>
      </c>
      <c r="F291" s="303">
        <f>HLOOKUP($C291,$BZ$2:$CM$3,2,0)</f>
        <v>13896.4</v>
      </c>
      <c r="G291" s="113">
        <f>D291*E291*F291</f>
        <v>0</v>
      </c>
      <c r="H291" s="166"/>
      <c r="I291" s="114" t="s">
        <v>495</v>
      </c>
      <c r="J291" s="114" t="str">
        <f>VLOOKUP(I291,Presupuesto!$B$11:$C$565,2,0)</f>
        <v>SUELDOS Y SALARIOS PERMANENTES</v>
      </c>
      <c r="K291" s="98" t="str">
        <f t="shared" si="6"/>
        <v>Posgrado</v>
      </c>
      <c r="L291" s="98" t="s">
        <v>394</v>
      </c>
    </row>
    <row r="292" spans="3:12" x14ac:dyDescent="0.25">
      <c r="C292" s="171" t="s">
        <v>58</v>
      </c>
      <c r="D292" s="163"/>
      <c r="E292" s="154">
        <v>0</v>
      </c>
      <c r="F292" s="100">
        <f>IF(E291=0,"",(G291/E291)/12*E291)</f>
        <v>0</v>
      </c>
      <c r="G292" s="97">
        <f>F292</f>
        <v>0</v>
      </c>
      <c r="H292" s="164"/>
      <c r="I292" s="116" t="s">
        <v>515</v>
      </c>
      <c r="J292" s="116" t="str">
        <f>VLOOKUP(I292,Presupuesto!$B$11:$C$565,2,0)</f>
        <v>AGUINALDO Y DECIMO CUARTO MES</v>
      </c>
      <c r="K292" s="98" t="str">
        <f t="shared" si="6"/>
        <v>Posgrado</v>
      </c>
      <c r="L292" s="98" t="s">
        <v>394</v>
      </c>
    </row>
    <row r="293" spans="3:12" ht="15.75" thickBot="1" x14ac:dyDescent="0.3">
      <c r="C293" s="172" t="s">
        <v>59</v>
      </c>
      <c r="D293" s="163"/>
      <c r="E293" s="154">
        <v>0</v>
      </c>
      <c r="F293" s="117">
        <f>IF(E291&lt;6,"",((E291-6)/12)*(G291/E291))</f>
        <v>0</v>
      </c>
      <c r="G293" s="97">
        <f>F293</f>
        <v>0</v>
      </c>
      <c r="H293" s="164"/>
      <c r="I293" s="101" t="s">
        <v>518</v>
      </c>
      <c r="J293" s="101" t="str">
        <f>VLOOKUP(I293,Presupuesto!$B$11:$C$565,2,0)</f>
        <v>DECIMOCUARTO MES</v>
      </c>
      <c r="K293" s="98" t="str">
        <f t="shared" si="6"/>
        <v>Posgrado</v>
      </c>
      <c r="L293" s="98" t="s">
        <v>394</v>
      </c>
    </row>
    <row r="294" spans="3:12" ht="15.75" thickBot="1" x14ac:dyDescent="0.3">
      <c r="C294" s="137" t="s">
        <v>490</v>
      </c>
      <c r="D294" s="199"/>
      <c r="E294" s="152">
        <v>12</v>
      </c>
      <c r="F294" s="303">
        <f>HLOOKUP($C294,$BZ$2:$CM$3,2,0)</f>
        <v>15004.09</v>
      </c>
      <c r="G294" s="113">
        <f>D294*E294*F294</f>
        <v>0</v>
      </c>
      <c r="H294" s="166"/>
      <c r="I294" s="114" t="s">
        <v>495</v>
      </c>
      <c r="J294" s="114" t="str">
        <f>VLOOKUP(I294,Presupuesto!$B$11:$C$565,2,0)</f>
        <v>SUELDOS Y SALARIOS PERMANENTES</v>
      </c>
      <c r="K294" s="98" t="str">
        <f t="shared" si="6"/>
        <v>Posgrado</v>
      </c>
      <c r="L294" s="98" t="s">
        <v>394</v>
      </c>
    </row>
    <row r="295" spans="3:12" x14ac:dyDescent="0.25">
      <c r="C295" s="171" t="s">
        <v>58</v>
      </c>
      <c r="D295" s="163"/>
      <c r="E295" s="154">
        <v>0</v>
      </c>
      <c r="F295" s="100">
        <f>IF(E294=0,"",(G294/E294)/12*E294)</f>
        <v>0</v>
      </c>
      <c r="G295" s="97">
        <f>F295</f>
        <v>0</v>
      </c>
      <c r="H295" s="164"/>
      <c r="I295" s="116" t="s">
        <v>515</v>
      </c>
      <c r="J295" s="116" t="str">
        <f>VLOOKUP(I295,Presupuesto!$B$11:$C$565,2,0)</f>
        <v>AGUINALDO Y DECIMO CUARTO MES</v>
      </c>
      <c r="K295" s="98" t="str">
        <f t="shared" si="6"/>
        <v>Posgrado</v>
      </c>
      <c r="L295" s="98" t="s">
        <v>394</v>
      </c>
    </row>
    <row r="296" spans="3:12" ht="15.75" thickBot="1" x14ac:dyDescent="0.3">
      <c r="C296" s="172" t="s">
        <v>59</v>
      </c>
      <c r="D296" s="163"/>
      <c r="E296" s="154">
        <v>0</v>
      </c>
      <c r="F296" s="117">
        <f>IF(E294&lt;6,"",((E294-6)/12)*(G294/E294))</f>
        <v>0</v>
      </c>
      <c r="G296" s="97">
        <f>F296</f>
        <v>0</v>
      </c>
      <c r="H296" s="164"/>
      <c r="I296" s="101" t="s">
        <v>518</v>
      </c>
      <c r="J296" s="101" t="str">
        <f>VLOOKUP(I296,Presupuesto!$B$11:$C$565,2,0)</f>
        <v>DECIMOCUARTO MES</v>
      </c>
      <c r="K296" s="98" t="str">
        <f t="shared" si="6"/>
        <v>Posgrado</v>
      </c>
      <c r="L296" s="98" t="s">
        <v>394</v>
      </c>
    </row>
    <row r="297" spans="3:12" ht="15.75" thickBot="1" x14ac:dyDescent="0.3">
      <c r="C297" s="137" t="s">
        <v>491</v>
      </c>
      <c r="D297" s="199"/>
      <c r="E297" s="152">
        <v>12</v>
      </c>
      <c r="F297" s="303">
        <f>HLOOKUP($C297,$BZ$2:$CM$3,2,0)</f>
        <v>13238.9</v>
      </c>
      <c r="G297" s="113">
        <f>D297*E297*F297</f>
        <v>0</v>
      </c>
      <c r="H297" s="166"/>
      <c r="I297" s="114" t="s">
        <v>495</v>
      </c>
      <c r="J297" s="114" t="str">
        <f>VLOOKUP(I297,Presupuesto!$B$11:$C$565,2,0)</f>
        <v>SUELDOS Y SALARIOS PERMANENTES</v>
      </c>
      <c r="K297" s="98" t="str">
        <f t="shared" si="6"/>
        <v>Posgrado</v>
      </c>
      <c r="L297" s="98" t="s">
        <v>394</v>
      </c>
    </row>
    <row r="298" spans="3:12" x14ac:dyDescent="0.25">
      <c r="C298" s="171" t="s">
        <v>58</v>
      </c>
      <c r="D298" s="163"/>
      <c r="E298" s="154">
        <v>0</v>
      </c>
      <c r="F298" s="100">
        <f>IF(E297=0,"",(G297/E297)/12*E297)</f>
        <v>0</v>
      </c>
      <c r="G298" s="97">
        <f>F298</f>
        <v>0</v>
      </c>
      <c r="H298" s="164"/>
      <c r="I298" s="116" t="s">
        <v>515</v>
      </c>
      <c r="J298" s="116" t="str">
        <f>VLOOKUP(I298,Presupuesto!$B$11:$C$565,2,0)</f>
        <v>AGUINALDO Y DECIMO CUARTO MES</v>
      </c>
      <c r="K298" s="98" t="str">
        <f t="shared" si="6"/>
        <v>Posgrado</v>
      </c>
      <c r="L298" s="98" t="s">
        <v>394</v>
      </c>
    </row>
    <row r="299" spans="3:12" ht="15.75" thickBot="1" x14ac:dyDescent="0.3">
      <c r="C299" s="172" t="s">
        <v>59</v>
      </c>
      <c r="D299" s="163"/>
      <c r="E299" s="154">
        <v>0</v>
      </c>
      <c r="F299" s="117">
        <f>IF(E297&lt;6,"",((E297-6)/12)*(G297/E297))</f>
        <v>0</v>
      </c>
      <c r="G299" s="97">
        <f>F299</f>
        <v>0</v>
      </c>
      <c r="H299" s="164"/>
      <c r="I299" s="101" t="s">
        <v>518</v>
      </c>
      <c r="J299" s="101" t="str">
        <f>VLOOKUP(I299,Presupuesto!$B$11:$C$565,2,0)</f>
        <v>DECIMOCUARTO MES</v>
      </c>
      <c r="K299" s="98" t="str">
        <f t="shared" si="6"/>
        <v>Posgrado</v>
      </c>
      <c r="L299" s="98" t="s">
        <v>394</v>
      </c>
    </row>
    <row r="300" spans="3:12" ht="15.75" thickBot="1" x14ac:dyDescent="0.3">
      <c r="C300" s="137" t="s">
        <v>492</v>
      </c>
      <c r="D300" s="199"/>
      <c r="E300" s="152">
        <v>12</v>
      </c>
      <c r="F300" s="303">
        <f>HLOOKUP($C300,$BZ$2:$CM$3,2,0)</f>
        <v>12356.31</v>
      </c>
      <c r="G300" s="113">
        <f>D300*E300*F300</f>
        <v>0</v>
      </c>
      <c r="H300" s="166"/>
      <c r="I300" s="114" t="s">
        <v>495</v>
      </c>
      <c r="J300" s="114" t="str">
        <f>VLOOKUP(I300,Presupuesto!$B$11:$C$565,2,0)</f>
        <v>SUELDOS Y SALARIOS PERMANENTES</v>
      </c>
      <c r="K300" s="98" t="str">
        <f t="shared" ref="K300:K317" si="7">$K$267</f>
        <v>Posgrado</v>
      </c>
      <c r="L300" s="98" t="s">
        <v>394</v>
      </c>
    </row>
    <row r="301" spans="3:12" x14ac:dyDescent="0.25">
      <c r="C301" s="171" t="s">
        <v>58</v>
      </c>
      <c r="D301" s="163"/>
      <c r="E301" s="154">
        <v>0</v>
      </c>
      <c r="F301" s="100">
        <f>IF(E300=0,"",(G300/E300)/12*E300)</f>
        <v>0</v>
      </c>
      <c r="G301" s="97">
        <f>F301</f>
        <v>0</v>
      </c>
      <c r="H301" s="164"/>
      <c r="I301" s="116" t="s">
        <v>515</v>
      </c>
      <c r="J301" s="116" t="str">
        <f>VLOOKUP(I301,Presupuesto!$B$11:$C$565,2,0)</f>
        <v>AGUINALDO Y DECIMO CUARTO MES</v>
      </c>
      <c r="K301" s="98" t="str">
        <f t="shared" si="7"/>
        <v>Posgrado</v>
      </c>
      <c r="L301" s="98" t="s">
        <v>394</v>
      </c>
    </row>
    <row r="302" spans="3:12" ht="15.75" thickBot="1" x14ac:dyDescent="0.3">
      <c r="C302" s="172" t="s">
        <v>59</v>
      </c>
      <c r="D302" s="163"/>
      <c r="E302" s="154">
        <v>0</v>
      </c>
      <c r="F302" s="117">
        <f>IF(E300&lt;6,"",((E300-6)/12)*(G300/E300))</f>
        <v>0</v>
      </c>
      <c r="G302" s="97">
        <f>F302</f>
        <v>0</v>
      </c>
      <c r="H302" s="164"/>
      <c r="I302" s="101" t="s">
        <v>518</v>
      </c>
      <c r="J302" s="101" t="str">
        <f>VLOOKUP(I302,Presupuesto!$B$11:$C$565,2,0)</f>
        <v>DECIMOCUARTO MES</v>
      </c>
      <c r="K302" s="98" t="str">
        <f t="shared" si="7"/>
        <v>Posgrado</v>
      </c>
      <c r="L302" s="98" t="s">
        <v>394</v>
      </c>
    </row>
    <row r="303" spans="3:12" ht="15.75" thickBot="1" x14ac:dyDescent="0.3">
      <c r="C303" s="137" t="s">
        <v>493</v>
      </c>
      <c r="D303" s="199"/>
      <c r="E303" s="152">
        <v>12</v>
      </c>
      <c r="F303" s="303">
        <f>HLOOKUP($C303,$BZ$2:$CM$3,2,0)</f>
        <v>463.22</v>
      </c>
      <c r="G303" s="113">
        <f>D303*E303*F303</f>
        <v>0</v>
      </c>
      <c r="H303" s="166"/>
      <c r="I303" s="114" t="s">
        <v>495</v>
      </c>
      <c r="J303" s="114" t="str">
        <f>VLOOKUP(I303,Presupuesto!$B$11:$C$565,2,0)</f>
        <v>SUELDOS Y SALARIOS PERMANENTES</v>
      </c>
      <c r="K303" s="98" t="str">
        <f t="shared" si="7"/>
        <v>Posgrado</v>
      </c>
      <c r="L303" s="98" t="s">
        <v>394</v>
      </c>
    </row>
    <row r="304" spans="3:12" x14ac:dyDescent="0.25">
      <c r="C304" s="171" t="s">
        <v>58</v>
      </c>
      <c r="D304" s="163"/>
      <c r="E304" s="154">
        <v>0</v>
      </c>
      <c r="F304" s="100">
        <f>IF(E303=0,"",(G303/E303)/12*E303)</f>
        <v>0</v>
      </c>
      <c r="G304" s="97">
        <f>F304</f>
        <v>0</v>
      </c>
      <c r="H304" s="164"/>
      <c r="I304" s="116" t="s">
        <v>515</v>
      </c>
      <c r="J304" s="116" t="str">
        <f>VLOOKUP(I304,Presupuesto!$B$11:$C$565,2,0)</f>
        <v>AGUINALDO Y DECIMO CUARTO MES</v>
      </c>
      <c r="K304" s="98" t="str">
        <f t="shared" si="7"/>
        <v>Posgrado</v>
      </c>
      <c r="L304" s="98" t="s">
        <v>394</v>
      </c>
    </row>
    <row r="305" spans="3:12" ht="15.75" thickBot="1" x14ac:dyDescent="0.3">
      <c r="C305" s="172" t="s">
        <v>59</v>
      </c>
      <c r="D305" s="163"/>
      <c r="E305" s="154">
        <v>0</v>
      </c>
      <c r="F305" s="117">
        <f>IF(E303&lt;6,"",((E303-6)/12)*(G303/E303))</f>
        <v>0</v>
      </c>
      <c r="G305" s="97">
        <f>F305</f>
        <v>0</v>
      </c>
      <c r="H305" s="164"/>
      <c r="I305" s="101" t="s">
        <v>518</v>
      </c>
      <c r="J305" s="101" t="str">
        <f>VLOOKUP(I305,Presupuesto!$B$11:$C$565,2,0)</f>
        <v>DECIMOCUARTO MES</v>
      </c>
      <c r="K305" s="98" t="str">
        <f t="shared" si="7"/>
        <v>Posgrado</v>
      </c>
      <c r="L305" s="98" t="s">
        <v>394</v>
      </c>
    </row>
    <row r="306" spans="3:12" ht="15.75" thickBot="1" x14ac:dyDescent="0.3">
      <c r="C306" s="137" t="s">
        <v>494</v>
      </c>
      <c r="D306" s="199"/>
      <c r="E306" s="152">
        <v>12</v>
      </c>
      <c r="F306" s="303">
        <f>HLOOKUP($C306,$BZ$2:$CM$3,2,0)</f>
        <v>2007.3</v>
      </c>
      <c r="G306" s="113">
        <f>D306*E306*F306</f>
        <v>0</v>
      </c>
      <c r="H306" s="166"/>
      <c r="I306" s="114" t="s">
        <v>495</v>
      </c>
      <c r="J306" s="114" t="str">
        <f>VLOOKUP(I306,Presupuesto!$B$11:$C$565,2,0)</f>
        <v>SUELDOS Y SALARIOS PERMANENTES</v>
      </c>
      <c r="K306" s="98" t="str">
        <f t="shared" si="7"/>
        <v>Posgrado</v>
      </c>
      <c r="L306" s="98" t="s">
        <v>394</v>
      </c>
    </row>
    <row r="307" spans="3:12" x14ac:dyDescent="0.25">
      <c r="C307" s="171" t="s">
        <v>58</v>
      </c>
      <c r="D307" s="163"/>
      <c r="E307" s="154">
        <v>0</v>
      </c>
      <c r="F307" s="100">
        <f>IF(E306=0,"",(G306/E306)/12*E306)</f>
        <v>0</v>
      </c>
      <c r="G307" s="97">
        <f>F307</f>
        <v>0</v>
      </c>
      <c r="H307" s="164"/>
      <c r="I307" s="116" t="s">
        <v>515</v>
      </c>
      <c r="J307" s="116" t="str">
        <f>VLOOKUP(I307,Presupuesto!$B$11:$C$565,2,0)</f>
        <v>AGUINALDO Y DECIMO CUARTO MES</v>
      </c>
      <c r="K307" s="98" t="str">
        <f t="shared" si="7"/>
        <v>Posgrado</v>
      </c>
      <c r="L307" s="98" t="s">
        <v>394</v>
      </c>
    </row>
    <row r="308" spans="3:12" ht="15.75" thickBot="1" x14ac:dyDescent="0.3">
      <c r="C308" s="172" t="s">
        <v>59</v>
      </c>
      <c r="D308" s="163"/>
      <c r="E308" s="154">
        <v>0</v>
      </c>
      <c r="F308" s="117">
        <f>IF(E306&lt;6,"",((E306-6)/12)*(G306/E306))</f>
        <v>0</v>
      </c>
      <c r="G308" s="97">
        <f>F308</f>
        <v>0</v>
      </c>
      <c r="H308" s="164"/>
      <c r="I308" s="101" t="s">
        <v>518</v>
      </c>
      <c r="J308" s="101" t="str">
        <f>VLOOKUP(I308,Presupuesto!$B$11:$C$565,2,0)</f>
        <v>DECIMOCUARTO MES</v>
      </c>
      <c r="K308" s="98" t="str">
        <f t="shared" si="7"/>
        <v>Posgrado</v>
      </c>
      <c r="L308" s="98" t="s">
        <v>394</v>
      </c>
    </row>
    <row r="309" spans="3:12" ht="15.75" thickBot="1" x14ac:dyDescent="0.3">
      <c r="C309" s="140" t="s">
        <v>83</v>
      </c>
      <c r="D309" s="199"/>
      <c r="E309" s="152">
        <v>12</v>
      </c>
      <c r="F309" s="139">
        <v>30000</v>
      </c>
      <c r="G309" s="113">
        <f>D309*E309*F309</f>
        <v>0</v>
      </c>
      <c r="H309" s="166"/>
      <c r="I309" s="114" t="s">
        <v>563</v>
      </c>
      <c r="J309" s="114" t="str">
        <f>VLOOKUP(I309,Presupuesto!$B$11:$C$565,2,0)</f>
        <v>CONTRATOS ESPECIALES</v>
      </c>
      <c r="K309" s="98" t="str">
        <f t="shared" si="7"/>
        <v>Posgrado</v>
      </c>
      <c r="L309" s="98" t="s">
        <v>394</v>
      </c>
    </row>
    <row r="310" spans="3:12" x14ac:dyDescent="0.25">
      <c r="C310" s="171" t="s">
        <v>58</v>
      </c>
      <c r="D310" s="163"/>
      <c r="E310" s="154">
        <v>0</v>
      </c>
      <c r="F310" s="117">
        <f>IF(E309=0,"",(G309/E309)/12*E309)</f>
        <v>0</v>
      </c>
      <c r="G310" s="97">
        <f>F310</f>
        <v>0</v>
      </c>
      <c r="H310" s="164"/>
      <c r="I310" s="101" t="s">
        <v>563</v>
      </c>
      <c r="J310" s="101" t="str">
        <f>VLOOKUP(I310,Presupuesto!$B$11:$C$565,2,0)</f>
        <v>CONTRATOS ESPECIALES</v>
      </c>
      <c r="K310" s="98" t="str">
        <f t="shared" si="7"/>
        <v>Posgrado</v>
      </c>
      <c r="L310" s="98" t="s">
        <v>393</v>
      </c>
    </row>
    <row r="311" spans="3:12" ht="15.75" thickBot="1" x14ac:dyDescent="0.3">
      <c r="C311" s="172" t="s">
        <v>59</v>
      </c>
      <c r="D311" s="163"/>
      <c r="E311" s="154">
        <v>0</v>
      </c>
      <c r="F311" s="100">
        <f>IF(E309&lt;6,"",((E309-6)/12)*(G309/E309))</f>
        <v>0</v>
      </c>
      <c r="G311" s="97">
        <f>F311</f>
        <v>0</v>
      </c>
      <c r="H311" s="164"/>
      <c r="I311" s="101" t="s">
        <v>563</v>
      </c>
      <c r="J311" s="101" t="str">
        <f>VLOOKUP(I311,Presupuesto!$B$11:$C$565,2,0)</f>
        <v>CONTRATOS ESPECIALES</v>
      </c>
      <c r="K311" s="98" t="str">
        <f t="shared" si="7"/>
        <v>Posgrado</v>
      </c>
      <c r="L311" s="98" t="s">
        <v>398</v>
      </c>
    </row>
    <row r="312" spans="3:12" ht="15.75" thickBot="1" x14ac:dyDescent="0.3">
      <c r="C312" s="140" t="s">
        <v>60</v>
      </c>
      <c r="D312" s="199"/>
      <c r="E312" s="152">
        <v>12</v>
      </c>
      <c r="F312" s="118">
        <v>30000</v>
      </c>
      <c r="G312" s="113">
        <f>D312*E312*F312</f>
        <v>0</v>
      </c>
      <c r="H312" s="166"/>
      <c r="I312" s="114" t="s">
        <v>704</v>
      </c>
      <c r="J312" s="114" t="str">
        <f>VLOOKUP(I312,Presupuesto!$B$11:$C$565,2,0)</f>
        <v>OTROS SERVICIOS TECNICOS Y PROFESIONALES</v>
      </c>
      <c r="K312" s="98" t="str">
        <f t="shared" si="7"/>
        <v>Posgrado</v>
      </c>
      <c r="L312" s="98" t="s">
        <v>393</v>
      </c>
    </row>
    <row r="313" spans="3:12" x14ac:dyDescent="0.25">
      <c r="C313" s="171" t="s">
        <v>58</v>
      </c>
      <c r="D313" s="163"/>
      <c r="E313" s="154">
        <v>0</v>
      </c>
      <c r="F313" s="100">
        <v>0</v>
      </c>
      <c r="G313" s="97">
        <f>F313</f>
        <v>0</v>
      </c>
      <c r="H313" s="164"/>
      <c r="I313" s="101" t="s">
        <v>704</v>
      </c>
      <c r="J313" s="101" t="str">
        <f>VLOOKUP(I313,Presupuesto!$B$11:$C$565,2,0)</f>
        <v>OTROS SERVICIOS TECNICOS Y PROFESIONALES</v>
      </c>
      <c r="K313" s="98" t="str">
        <f t="shared" si="7"/>
        <v>Posgrado</v>
      </c>
      <c r="L313" s="98" t="s">
        <v>393</v>
      </c>
    </row>
    <row r="314" spans="3:12" ht="15.75" thickBot="1" x14ac:dyDescent="0.3">
      <c r="C314" s="172" t="s">
        <v>59</v>
      </c>
      <c r="D314" s="163"/>
      <c r="E314" s="154">
        <v>0</v>
      </c>
      <c r="F314" s="100">
        <v>0</v>
      </c>
      <c r="G314" s="97">
        <f>F314</f>
        <v>0</v>
      </c>
      <c r="H314" s="164"/>
      <c r="I314" s="101" t="s">
        <v>704</v>
      </c>
      <c r="J314" s="101" t="str">
        <f>VLOOKUP(I314,Presupuesto!$B$11:$C$565,2,0)</f>
        <v>OTROS SERVICIOS TECNICOS Y PROFESIONALES</v>
      </c>
      <c r="K314" s="98" t="str">
        <f t="shared" si="7"/>
        <v>Posgrado</v>
      </c>
      <c r="L314" s="98" t="s">
        <v>393</v>
      </c>
    </row>
    <row r="315" spans="3:12" ht="15.75" thickBot="1" x14ac:dyDescent="0.3">
      <c r="C315" s="140" t="s">
        <v>61</v>
      </c>
      <c r="D315" s="199"/>
      <c r="E315" s="152">
        <v>12</v>
      </c>
      <c r="F315" s="118">
        <v>30000</v>
      </c>
      <c r="G315" s="113">
        <f>D315*E315*F315</f>
        <v>0</v>
      </c>
      <c r="H315" s="166"/>
      <c r="I315" s="114" t="s">
        <v>495</v>
      </c>
      <c r="J315" s="114" t="str">
        <f>VLOOKUP(I315,Presupuesto!$B$11:$C$565,2,0)</f>
        <v>SUELDOS Y SALARIOS PERMANENTES</v>
      </c>
      <c r="K315" s="98" t="str">
        <f t="shared" si="7"/>
        <v>Posgrado</v>
      </c>
      <c r="L315" s="98" t="s">
        <v>393</v>
      </c>
    </row>
    <row r="316" spans="3:12" x14ac:dyDescent="0.25">
      <c r="C316" s="171" t="s">
        <v>58</v>
      </c>
      <c r="D316" s="169"/>
      <c r="E316" s="131">
        <v>0</v>
      </c>
      <c r="F316" s="119">
        <f>IF(E315=0,"",(G315/E315)/12*E315)</f>
        <v>0</v>
      </c>
      <c r="G316" s="120">
        <f>F316</f>
        <v>0</v>
      </c>
      <c r="H316" s="164"/>
      <c r="I316" s="101" t="s">
        <v>515</v>
      </c>
      <c r="J316" s="101" t="str">
        <f>VLOOKUP(I316,Presupuesto!$B$11:$C$565,2,0)</f>
        <v>AGUINALDO Y DECIMO CUARTO MES</v>
      </c>
      <c r="K316" s="98" t="str">
        <f t="shared" si="7"/>
        <v>Posgrado</v>
      </c>
      <c r="L316" s="98" t="s">
        <v>393</v>
      </c>
    </row>
    <row r="317" spans="3:12" ht="15.75" thickBot="1" x14ac:dyDescent="0.3">
      <c r="C317" s="173" t="s">
        <v>59</v>
      </c>
      <c r="D317" s="162"/>
      <c r="E317" s="132">
        <v>0</v>
      </c>
      <c r="F317" s="105">
        <f>IF(E315&lt;6,"",((E315-6)/12)*(G315/E315))</f>
        <v>0</v>
      </c>
      <c r="G317" s="105">
        <f>F317</f>
        <v>0</v>
      </c>
      <c r="H317" s="162"/>
      <c r="I317" s="106" t="s">
        <v>518</v>
      </c>
      <c r="J317" s="124" t="str">
        <f>VLOOKUP(I317,Presupuesto!$B$11:$C$565,2,0)</f>
        <v>DECIMOCUARTO MES</v>
      </c>
      <c r="K317" s="106" t="str">
        <f t="shared" si="7"/>
        <v>Posgrado</v>
      </c>
      <c r="L317" s="124" t="s">
        <v>393</v>
      </c>
    </row>
    <row r="319" spans="3:12" ht="15.75" thickBot="1" x14ac:dyDescent="0.3">
      <c r="K319" s="153"/>
    </row>
    <row r="320" spans="3:12" ht="15.75" thickBot="1" x14ac:dyDescent="0.3">
      <c r="C320" s="69" t="s">
        <v>43</v>
      </c>
      <c r="D320" s="30">
        <f>SUM(G327:G377)</f>
        <v>0</v>
      </c>
      <c r="E320" s="93"/>
      <c r="F320" s="93"/>
      <c r="G320" s="93"/>
      <c r="H320" s="76"/>
      <c r="I320" s="76"/>
      <c r="J320" s="76"/>
      <c r="K320" s="153"/>
    </row>
    <row r="321" spans="3:12" x14ac:dyDescent="0.25">
      <c r="D321" s="31"/>
      <c r="E321" s="93"/>
      <c r="F321" s="93"/>
      <c r="G321" s="93"/>
      <c r="H321" s="76"/>
      <c r="I321" s="76"/>
      <c r="J321" s="76"/>
      <c r="K321" s="153"/>
    </row>
    <row r="322" spans="3:12" x14ac:dyDescent="0.25">
      <c r="D322" s="31"/>
      <c r="E322" s="93"/>
      <c r="F322" s="93"/>
      <c r="G322" s="93"/>
      <c r="H322" s="76"/>
      <c r="I322" s="76"/>
      <c r="J322" s="76"/>
      <c r="K322" s="153"/>
    </row>
    <row r="323" spans="3:12" ht="15.75" x14ac:dyDescent="0.25">
      <c r="C323" s="202" t="s">
        <v>391</v>
      </c>
      <c r="D323" s="368"/>
      <c r="E323" s="93"/>
      <c r="F323" s="93"/>
      <c r="G323" s="93"/>
      <c r="H323" s="76"/>
      <c r="I323" s="76"/>
      <c r="J323" s="76"/>
      <c r="K323" s="153"/>
    </row>
    <row r="324" spans="3:12" ht="18.75" x14ac:dyDescent="0.25">
      <c r="C324" s="210" t="e">
        <f>IFERROR(VLOOKUP(D323,'1. Desarrollo e Innov. Curricu.'!$F:$G,2,FALSE),IFERROR(VLOOKUP(D323,'2. Investigación Científica'!$F:$G,2,FALSE),IFERROR(VLOOKUP(D323,'3. Vinculación Univ. Sociedad'!$F:$G,2,FALSE),IFERROR(VLOOKUP(D323,'4. Docencia y Profesorado Univ.'!$F:$G,2,FALSE),IFERROR(VLOOKUP(D323,'5. Estudiantes y Graduados'!$F:$G,2,FALSE),IFERROR(VLOOKUP(D323,'11. Gestion Administrativa'!$F:$G,2,FALSE),IFERROR(VLOOKUP(D323,'13. Gestión Académica'!$F:$G,2,FALSE),IFERROR(VLOOKUP(D323,'9. Asegura. de la Calid. y M'!$F:$G,2,FALSE),IFERROR(VLOOKUP(D323,'6. Gestión del Conocimiento'!$F:$G,2,FALSE),IFERROR(VLOOKUP(D323,'15. Gobernabilidad y Proceso...'!$F:$G,2,FALSE),IFERROR(VLOOKUP(D323,'12. Gestión del Talento Humano'!$F:$G,2,FALSE),IFERROR(VLOOKUP(D323,'14. Internacional... de la E.S.'!$F:$G,2,FALSE),IFERROR(VLOOKUP(D323,'10. Posgrado'!$F:$G,2,FALSE),IFERROR(VLOOKUP(D323,'17. Gestión TIC'!$F:$G,2,FALSE),IFERROR(VLOOKUP(D323,'16. Desa. del Sistema Educ.Sup.'!$F:$G,2,FALSE),IFERROR(VLOOKUP(D323,'8. Cultura de Inno. Insti...'!$F:$G,2,FALSE),VLOOKUP(D323,'7. Lo Esencial de la Reforma U.'!$F:$G,2,0)))))))))))))))))</f>
        <v>#N/A</v>
      </c>
      <c r="D324" s="31"/>
      <c r="E324" s="93"/>
      <c r="F324" s="93"/>
      <c r="G324" s="93"/>
      <c r="H324" s="76"/>
      <c r="I324" s="76"/>
      <c r="J324" s="76"/>
      <c r="K324" s="153"/>
    </row>
    <row r="325" spans="3:12" ht="15.75" thickBot="1" x14ac:dyDescent="0.3">
      <c r="C325" s="177"/>
      <c r="D325" s="31"/>
      <c r="E325" s="93"/>
      <c r="F325" s="93"/>
      <c r="G325" s="93"/>
      <c r="H325" s="76"/>
      <c r="I325" s="76"/>
      <c r="J325" s="76"/>
      <c r="K325" s="153"/>
    </row>
    <row r="326" spans="3:12" ht="30.75" thickBot="1" x14ac:dyDescent="0.3">
      <c r="C326" s="134" t="s">
        <v>44</v>
      </c>
      <c r="D326" s="138" t="s">
        <v>55</v>
      </c>
      <c r="E326" s="170" t="s">
        <v>56</v>
      </c>
      <c r="F326" s="138" t="s">
        <v>57</v>
      </c>
      <c r="G326" s="135" t="s">
        <v>27</v>
      </c>
      <c r="H326" s="133" t="s">
        <v>130</v>
      </c>
      <c r="I326" s="136" t="s">
        <v>46</v>
      </c>
      <c r="J326" s="136" t="s">
        <v>131</v>
      </c>
      <c r="K326" s="136" t="s">
        <v>409</v>
      </c>
      <c r="L326" s="136" t="s">
        <v>410</v>
      </c>
    </row>
    <row r="327" spans="3:12" ht="15.75" thickBot="1" x14ac:dyDescent="0.3">
      <c r="C327" s="137" t="s">
        <v>481</v>
      </c>
      <c r="D327" s="199"/>
      <c r="E327" s="152">
        <v>12</v>
      </c>
      <c r="F327" s="303">
        <f>HLOOKUP($C327,$BZ$2:$CM$3,2,0)</f>
        <v>43674.39</v>
      </c>
      <c r="G327" s="113">
        <f>D327*E327*F327</f>
        <v>0</v>
      </c>
      <c r="H327" s="166"/>
      <c r="I327" s="114" t="s">
        <v>495</v>
      </c>
      <c r="J327" s="114" t="str">
        <f>VLOOKUP(I327,Presupuesto!$B$11:$C$565,2,0)</f>
        <v>SUELDOS Y SALARIOS PERMANENTES</v>
      </c>
      <c r="K327" s="218" t="s">
        <v>1449</v>
      </c>
      <c r="L327" s="98" t="s">
        <v>393</v>
      </c>
    </row>
    <row r="328" spans="3:12" x14ac:dyDescent="0.25">
      <c r="C328" s="171" t="s">
        <v>58</v>
      </c>
      <c r="D328" s="163"/>
      <c r="E328" s="154">
        <v>0</v>
      </c>
      <c r="F328" s="100">
        <f>IF(E327=0,"",(G327/E327)/12*E327)</f>
        <v>0</v>
      </c>
      <c r="G328" s="97">
        <f>F328</f>
        <v>0</v>
      </c>
      <c r="H328" s="164"/>
      <c r="I328" s="116" t="s">
        <v>515</v>
      </c>
      <c r="J328" s="116" t="str">
        <f>VLOOKUP(I328,Presupuesto!$B$11:$C$565,2,0)</f>
        <v>AGUINALDO Y DECIMO CUARTO MES</v>
      </c>
      <c r="K328" s="98" t="str">
        <f t="shared" ref="K328:K359" si="8">$K$327</f>
        <v>Posgrado</v>
      </c>
      <c r="L328" s="98" t="s">
        <v>411</v>
      </c>
    </row>
    <row r="329" spans="3:12" ht="15.75" thickBot="1" x14ac:dyDescent="0.3">
      <c r="C329" s="172" t="s">
        <v>59</v>
      </c>
      <c r="D329" s="163"/>
      <c r="E329" s="154">
        <v>0</v>
      </c>
      <c r="F329" s="117">
        <f>IF(E327&lt;6,"",((E327-6)/12)*(G327/E327))</f>
        <v>0</v>
      </c>
      <c r="G329" s="97">
        <f>F329</f>
        <v>0</v>
      </c>
      <c r="H329" s="164"/>
      <c r="I329" s="101" t="s">
        <v>518</v>
      </c>
      <c r="J329" s="101" t="str">
        <f>VLOOKUP(I329,Presupuesto!$B$11:$C$565,2,0)</f>
        <v>DECIMOCUARTO MES</v>
      </c>
      <c r="K329" s="98" t="str">
        <f t="shared" si="8"/>
        <v>Posgrado</v>
      </c>
      <c r="L329" s="98" t="s">
        <v>394</v>
      </c>
    </row>
    <row r="330" spans="3:12" ht="15.75" thickBot="1" x14ac:dyDescent="0.3">
      <c r="C330" s="137" t="s">
        <v>482</v>
      </c>
      <c r="D330" s="199"/>
      <c r="E330" s="152">
        <v>12</v>
      </c>
      <c r="F330" s="303">
        <f>HLOOKUP($C330,$BZ$2:$CM$3,2,0)</f>
        <v>39703.99</v>
      </c>
      <c r="G330" s="113">
        <f>D330*E330*F330</f>
        <v>0</v>
      </c>
      <c r="H330" s="166"/>
      <c r="I330" s="114" t="s">
        <v>495</v>
      </c>
      <c r="J330" s="114" t="str">
        <f>VLOOKUP(I330,Presupuesto!$B$11:$C$565,2,0)</f>
        <v>SUELDOS Y SALARIOS PERMANENTES</v>
      </c>
      <c r="K330" s="98" t="str">
        <f t="shared" si="8"/>
        <v>Posgrado</v>
      </c>
      <c r="L330" s="98" t="s">
        <v>394</v>
      </c>
    </row>
    <row r="331" spans="3:12" x14ac:dyDescent="0.25">
      <c r="C331" s="171" t="s">
        <v>58</v>
      </c>
      <c r="D331" s="163"/>
      <c r="E331" s="154">
        <v>0</v>
      </c>
      <c r="F331" s="100">
        <f>IF(E330=0,"",(G330/E330)/12*E330)</f>
        <v>0</v>
      </c>
      <c r="G331" s="97">
        <f>F331</f>
        <v>0</v>
      </c>
      <c r="H331" s="164"/>
      <c r="I331" s="116" t="s">
        <v>515</v>
      </c>
      <c r="J331" s="116" t="str">
        <f>VLOOKUP(I331,Presupuesto!$B$11:$C$565,2,0)</f>
        <v>AGUINALDO Y DECIMO CUARTO MES</v>
      </c>
      <c r="K331" s="98" t="str">
        <f t="shared" si="8"/>
        <v>Posgrado</v>
      </c>
      <c r="L331" s="98" t="s">
        <v>394</v>
      </c>
    </row>
    <row r="332" spans="3:12" ht="15.75" thickBot="1" x14ac:dyDescent="0.3">
      <c r="C332" s="172" t="s">
        <v>59</v>
      </c>
      <c r="D332" s="163"/>
      <c r="E332" s="154">
        <v>0</v>
      </c>
      <c r="F332" s="117">
        <f>IF(E330&lt;6,"",((E330-6)/12)*(G330/E330))</f>
        <v>0</v>
      </c>
      <c r="G332" s="97">
        <f>F332</f>
        <v>0</v>
      </c>
      <c r="H332" s="164"/>
      <c r="I332" s="101" t="s">
        <v>518</v>
      </c>
      <c r="J332" s="101" t="str">
        <f>VLOOKUP(I332,Presupuesto!$B$11:$C$565,2,0)</f>
        <v>DECIMOCUARTO MES</v>
      </c>
      <c r="K332" s="98" t="str">
        <f t="shared" si="8"/>
        <v>Posgrado</v>
      </c>
      <c r="L332" s="98" t="s">
        <v>394</v>
      </c>
    </row>
    <row r="333" spans="3:12" ht="15.75" thickBot="1" x14ac:dyDescent="0.3">
      <c r="C333" s="137" t="s">
        <v>483</v>
      </c>
      <c r="D333" s="199"/>
      <c r="E333" s="152">
        <v>12</v>
      </c>
      <c r="F333" s="303">
        <f>HLOOKUP($C333,$BZ$2:$CM$3,2,0)</f>
        <v>35733.589999999997</v>
      </c>
      <c r="G333" s="113">
        <f>D333*E333*F333</f>
        <v>0</v>
      </c>
      <c r="H333" s="166"/>
      <c r="I333" s="114" t="s">
        <v>495</v>
      </c>
      <c r="J333" s="114" t="str">
        <f>VLOOKUP(I333,Presupuesto!$B$11:$C$565,2,0)</f>
        <v>SUELDOS Y SALARIOS PERMANENTES</v>
      </c>
      <c r="K333" s="98" t="str">
        <f t="shared" si="8"/>
        <v>Posgrado</v>
      </c>
      <c r="L333" s="98" t="s">
        <v>394</v>
      </c>
    </row>
    <row r="334" spans="3:12" x14ac:dyDescent="0.25">
      <c r="C334" s="171" t="s">
        <v>58</v>
      </c>
      <c r="D334" s="163"/>
      <c r="E334" s="154">
        <v>0</v>
      </c>
      <c r="F334" s="100">
        <f>IF(E333=0,"",(G333/E333)/12*E333)</f>
        <v>0</v>
      </c>
      <c r="G334" s="97">
        <f>F334</f>
        <v>0</v>
      </c>
      <c r="H334" s="164"/>
      <c r="I334" s="116" t="s">
        <v>515</v>
      </c>
      <c r="J334" s="116" t="str">
        <f>VLOOKUP(I334,Presupuesto!$B$11:$C$565,2,0)</f>
        <v>AGUINALDO Y DECIMO CUARTO MES</v>
      </c>
      <c r="K334" s="98" t="str">
        <f t="shared" si="8"/>
        <v>Posgrado</v>
      </c>
      <c r="L334" s="98" t="s">
        <v>394</v>
      </c>
    </row>
    <row r="335" spans="3:12" ht="15.75" thickBot="1" x14ac:dyDescent="0.3">
      <c r="C335" s="172" t="s">
        <v>59</v>
      </c>
      <c r="D335" s="163"/>
      <c r="E335" s="154">
        <v>0</v>
      </c>
      <c r="F335" s="117">
        <f>IF(E333&lt;6,"",((E333-6)/12)*(G333/E333))</f>
        <v>0</v>
      </c>
      <c r="G335" s="97">
        <f>F335</f>
        <v>0</v>
      </c>
      <c r="H335" s="164"/>
      <c r="I335" s="101" t="s">
        <v>518</v>
      </c>
      <c r="J335" s="101" t="str">
        <f>VLOOKUP(I335,Presupuesto!$B$11:$C$565,2,0)</f>
        <v>DECIMOCUARTO MES</v>
      </c>
      <c r="K335" s="98" t="str">
        <f t="shared" si="8"/>
        <v>Posgrado</v>
      </c>
      <c r="L335" s="98" t="s">
        <v>394</v>
      </c>
    </row>
    <row r="336" spans="3:12" ht="15.75" thickBot="1" x14ac:dyDescent="0.3">
      <c r="C336" s="137" t="s">
        <v>484</v>
      </c>
      <c r="D336" s="199"/>
      <c r="E336" s="152">
        <v>12</v>
      </c>
      <c r="F336" s="303">
        <f>HLOOKUP($C336,$BZ$2:$CM$3,2,0)</f>
        <v>31763.19</v>
      </c>
      <c r="G336" s="113">
        <f>D336*E336*F336</f>
        <v>0</v>
      </c>
      <c r="H336" s="166"/>
      <c r="I336" s="114" t="s">
        <v>495</v>
      </c>
      <c r="J336" s="114" t="str">
        <f>VLOOKUP(I336,Presupuesto!$B$11:$C$565,2,0)</f>
        <v>SUELDOS Y SALARIOS PERMANENTES</v>
      </c>
      <c r="K336" s="98" t="str">
        <f t="shared" si="8"/>
        <v>Posgrado</v>
      </c>
      <c r="L336" s="98" t="s">
        <v>394</v>
      </c>
    </row>
    <row r="337" spans="3:12" x14ac:dyDescent="0.25">
      <c r="C337" s="171" t="s">
        <v>58</v>
      </c>
      <c r="D337" s="163"/>
      <c r="E337" s="154">
        <v>0</v>
      </c>
      <c r="F337" s="100">
        <f>IF(E336=0,"",(G336/E336)/12*E336)</f>
        <v>0</v>
      </c>
      <c r="G337" s="97">
        <f>F337</f>
        <v>0</v>
      </c>
      <c r="H337" s="164"/>
      <c r="I337" s="116" t="s">
        <v>515</v>
      </c>
      <c r="J337" s="116" t="str">
        <f>VLOOKUP(I337,Presupuesto!$B$11:$C$565,2,0)</f>
        <v>AGUINALDO Y DECIMO CUARTO MES</v>
      </c>
      <c r="K337" s="98" t="str">
        <f t="shared" si="8"/>
        <v>Posgrado</v>
      </c>
      <c r="L337" s="98" t="s">
        <v>394</v>
      </c>
    </row>
    <row r="338" spans="3:12" ht="15.75" thickBot="1" x14ac:dyDescent="0.3">
      <c r="C338" s="172" t="s">
        <v>59</v>
      </c>
      <c r="D338" s="163"/>
      <c r="E338" s="154">
        <v>0</v>
      </c>
      <c r="F338" s="117">
        <f>IF(E336&lt;6,"",((E336-6)/12)*(G336/E336))</f>
        <v>0</v>
      </c>
      <c r="G338" s="97">
        <f>F338</f>
        <v>0</v>
      </c>
      <c r="H338" s="164"/>
      <c r="I338" s="101" t="s">
        <v>518</v>
      </c>
      <c r="J338" s="101" t="str">
        <f>VLOOKUP(I338,Presupuesto!$B$11:$C$565,2,0)</f>
        <v>DECIMOCUARTO MES</v>
      </c>
      <c r="K338" s="98" t="str">
        <f t="shared" si="8"/>
        <v>Posgrado</v>
      </c>
      <c r="L338" s="98" t="s">
        <v>394</v>
      </c>
    </row>
    <row r="339" spans="3:12" ht="15.75" thickBot="1" x14ac:dyDescent="0.3">
      <c r="C339" s="137" t="s">
        <v>485</v>
      </c>
      <c r="D339" s="199"/>
      <c r="E339" s="152">
        <v>12</v>
      </c>
      <c r="F339" s="303">
        <f>HLOOKUP($C339,$BZ$2:$CM$3,2,0)</f>
        <v>29777.99</v>
      </c>
      <c r="G339" s="113">
        <f>D339*E339*F339</f>
        <v>0</v>
      </c>
      <c r="H339" s="166"/>
      <c r="I339" s="114" t="s">
        <v>495</v>
      </c>
      <c r="J339" s="114" t="str">
        <f>VLOOKUP(I339,Presupuesto!$B$11:$C$565,2,0)</f>
        <v>SUELDOS Y SALARIOS PERMANENTES</v>
      </c>
      <c r="K339" s="98" t="str">
        <f t="shared" si="8"/>
        <v>Posgrado</v>
      </c>
      <c r="L339" s="98" t="s">
        <v>394</v>
      </c>
    </row>
    <row r="340" spans="3:12" x14ac:dyDescent="0.25">
      <c r="C340" s="171" t="s">
        <v>58</v>
      </c>
      <c r="D340" s="163"/>
      <c r="E340" s="154">
        <v>0</v>
      </c>
      <c r="F340" s="100">
        <f>IF(E339=0,"",(G339/E339)/12*E339)</f>
        <v>0</v>
      </c>
      <c r="G340" s="97">
        <f>F340</f>
        <v>0</v>
      </c>
      <c r="H340" s="164"/>
      <c r="I340" s="116" t="s">
        <v>515</v>
      </c>
      <c r="J340" s="116" t="str">
        <f>VLOOKUP(I340,Presupuesto!$B$11:$C$565,2,0)</f>
        <v>AGUINALDO Y DECIMO CUARTO MES</v>
      </c>
      <c r="K340" s="98" t="str">
        <f t="shared" si="8"/>
        <v>Posgrado</v>
      </c>
      <c r="L340" s="98" t="s">
        <v>394</v>
      </c>
    </row>
    <row r="341" spans="3:12" ht="15.75" thickBot="1" x14ac:dyDescent="0.3">
      <c r="C341" s="172" t="s">
        <v>59</v>
      </c>
      <c r="D341" s="163"/>
      <c r="E341" s="154">
        <v>0</v>
      </c>
      <c r="F341" s="117">
        <f>IF(E339&lt;6,"",((E339-6)/12)*(G339/E339))</f>
        <v>0</v>
      </c>
      <c r="G341" s="97">
        <f>F341</f>
        <v>0</v>
      </c>
      <c r="H341" s="164"/>
      <c r="I341" s="101" t="s">
        <v>518</v>
      </c>
      <c r="J341" s="101" t="str">
        <f>VLOOKUP(I341,Presupuesto!$B$11:$C$565,2,0)</f>
        <v>DECIMOCUARTO MES</v>
      </c>
      <c r="K341" s="98" t="str">
        <f t="shared" si="8"/>
        <v>Posgrado</v>
      </c>
      <c r="L341" s="98" t="s">
        <v>394</v>
      </c>
    </row>
    <row r="342" spans="3:12" ht="15.75" thickBot="1" x14ac:dyDescent="0.3">
      <c r="C342" s="137" t="s">
        <v>486</v>
      </c>
      <c r="D342" s="199"/>
      <c r="E342" s="152">
        <v>12</v>
      </c>
      <c r="F342" s="303">
        <f>HLOOKUP($C342,$BZ$2:$CM$3,2,0)</f>
        <v>27792.79</v>
      </c>
      <c r="G342" s="113">
        <f>D342*E342*F342</f>
        <v>0</v>
      </c>
      <c r="H342" s="166"/>
      <c r="I342" s="114" t="s">
        <v>495</v>
      </c>
      <c r="J342" s="114" t="str">
        <f>VLOOKUP(I342,Presupuesto!$B$11:$C$565,2,0)</f>
        <v>SUELDOS Y SALARIOS PERMANENTES</v>
      </c>
      <c r="K342" s="98" t="str">
        <f t="shared" si="8"/>
        <v>Posgrado</v>
      </c>
      <c r="L342" s="98" t="s">
        <v>394</v>
      </c>
    </row>
    <row r="343" spans="3:12" x14ac:dyDescent="0.25">
      <c r="C343" s="171" t="s">
        <v>58</v>
      </c>
      <c r="D343" s="163"/>
      <c r="E343" s="154">
        <v>0</v>
      </c>
      <c r="F343" s="100">
        <f>IF(E342=0,"",(G342/E342)/12*E342)</f>
        <v>0</v>
      </c>
      <c r="G343" s="97">
        <f>F343</f>
        <v>0</v>
      </c>
      <c r="H343" s="164"/>
      <c r="I343" s="116" t="s">
        <v>515</v>
      </c>
      <c r="J343" s="116" t="str">
        <f>VLOOKUP(I343,Presupuesto!$B$11:$C$565,2,0)</f>
        <v>AGUINALDO Y DECIMO CUARTO MES</v>
      </c>
      <c r="K343" s="98" t="str">
        <f t="shared" si="8"/>
        <v>Posgrado</v>
      </c>
      <c r="L343" s="98" t="s">
        <v>394</v>
      </c>
    </row>
    <row r="344" spans="3:12" ht="15.75" thickBot="1" x14ac:dyDescent="0.3">
      <c r="C344" s="172" t="s">
        <v>59</v>
      </c>
      <c r="D344" s="163"/>
      <c r="E344" s="154">
        <v>0</v>
      </c>
      <c r="F344" s="117">
        <f>IF(E342&lt;6,"",((E342-6)/12)*(G342/E342))</f>
        <v>0</v>
      </c>
      <c r="G344" s="97">
        <f>F344</f>
        <v>0</v>
      </c>
      <c r="H344" s="164"/>
      <c r="I344" s="101" t="s">
        <v>518</v>
      </c>
      <c r="J344" s="101" t="str">
        <f>VLOOKUP(I344,Presupuesto!$B$11:$C$565,2,0)</f>
        <v>DECIMOCUARTO MES</v>
      </c>
      <c r="K344" s="98" t="str">
        <f t="shared" si="8"/>
        <v>Posgrado</v>
      </c>
      <c r="L344" s="98" t="s">
        <v>394</v>
      </c>
    </row>
    <row r="345" spans="3:12" ht="15.75" thickBot="1" x14ac:dyDescent="0.3">
      <c r="C345" s="137" t="s">
        <v>487</v>
      </c>
      <c r="D345" s="199"/>
      <c r="E345" s="152">
        <v>12</v>
      </c>
      <c r="F345" s="303">
        <f>HLOOKUP($C345,$BZ$2:$CM$3,2,0)</f>
        <v>18859.39</v>
      </c>
      <c r="G345" s="113">
        <f>D345*E345*F345</f>
        <v>0</v>
      </c>
      <c r="H345" s="166"/>
      <c r="I345" s="114" t="s">
        <v>495</v>
      </c>
      <c r="J345" s="114" t="str">
        <f>VLOOKUP(I345,Presupuesto!$B$11:$C$565,2,0)</f>
        <v>SUELDOS Y SALARIOS PERMANENTES</v>
      </c>
      <c r="K345" s="98" t="str">
        <f t="shared" si="8"/>
        <v>Posgrado</v>
      </c>
      <c r="L345" s="98" t="s">
        <v>394</v>
      </c>
    </row>
    <row r="346" spans="3:12" x14ac:dyDescent="0.25">
      <c r="C346" s="171" t="s">
        <v>58</v>
      </c>
      <c r="D346" s="163"/>
      <c r="E346" s="154">
        <v>0</v>
      </c>
      <c r="F346" s="100">
        <f>IF(E345=0,"",(G345/E345)/12*E345)</f>
        <v>0</v>
      </c>
      <c r="G346" s="97">
        <f>F346</f>
        <v>0</v>
      </c>
      <c r="H346" s="164"/>
      <c r="I346" s="116" t="s">
        <v>515</v>
      </c>
      <c r="J346" s="116" t="str">
        <f>VLOOKUP(I346,Presupuesto!$B$11:$C$565,2,0)</f>
        <v>AGUINALDO Y DECIMO CUARTO MES</v>
      </c>
      <c r="K346" s="98" t="str">
        <f t="shared" si="8"/>
        <v>Posgrado</v>
      </c>
      <c r="L346" s="98" t="s">
        <v>394</v>
      </c>
    </row>
    <row r="347" spans="3:12" ht="15.75" thickBot="1" x14ac:dyDescent="0.3">
      <c r="C347" s="172" t="s">
        <v>59</v>
      </c>
      <c r="D347" s="163"/>
      <c r="E347" s="154">
        <v>0</v>
      </c>
      <c r="F347" s="117">
        <f>IF(E345&lt;6,"",((E345-6)/12)*(G345/E345))</f>
        <v>0</v>
      </c>
      <c r="G347" s="97">
        <f>F347</f>
        <v>0</v>
      </c>
      <c r="H347" s="164"/>
      <c r="I347" s="101" t="s">
        <v>518</v>
      </c>
      <c r="J347" s="101" t="str">
        <f>VLOOKUP(I347,Presupuesto!$B$11:$C$565,2,0)</f>
        <v>DECIMOCUARTO MES</v>
      </c>
      <c r="K347" s="98" t="str">
        <f t="shared" si="8"/>
        <v>Posgrado</v>
      </c>
      <c r="L347" s="98" t="s">
        <v>394</v>
      </c>
    </row>
    <row r="348" spans="3:12" ht="15.75" thickBot="1" x14ac:dyDescent="0.3">
      <c r="C348" s="137" t="s">
        <v>488</v>
      </c>
      <c r="D348" s="199"/>
      <c r="E348" s="152">
        <v>12</v>
      </c>
      <c r="F348" s="303">
        <f>HLOOKUP($C348,$BZ$2:$CM$3,2,0)</f>
        <v>17866.8</v>
      </c>
      <c r="G348" s="113">
        <f>D348*E348*F348</f>
        <v>0</v>
      </c>
      <c r="H348" s="166"/>
      <c r="I348" s="114" t="s">
        <v>495</v>
      </c>
      <c r="J348" s="114" t="str">
        <f>VLOOKUP(I348,Presupuesto!$B$11:$C$565,2,0)</f>
        <v>SUELDOS Y SALARIOS PERMANENTES</v>
      </c>
      <c r="K348" s="98" t="str">
        <f t="shared" si="8"/>
        <v>Posgrado</v>
      </c>
      <c r="L348" s="98" t="s">
        <v>394</v>
      </c>
    </row>
    <row r="349" spans="3:12" x14ac:dyDescent="0.25">
      <c r="C349" s="171" t="s">
        <v>58</v>
      </c>
      <c r="D349" s="163"/>
      <c r="E349" s="154">
        <v>0</v>
      </c>
      <c r="F349" s="100">
        <f>IF(E348=0,"",(G348/E348)/12*E348)</f>
        <v>0</v>
      </c>
      <c r="G349" s="97">
        <f>F349</f>
        <v>0</v>
      </c>
      <c r="H349" s="164"/>
      <c r="I349" s="116" t="s">
        <v>515</v>
      </c>
      <c r="J349" s="116" t="str">
        <f>VLOOKUP(I349,Presupuesto!$B$11:$C$565,2,0)</f>
        <v>AGUINALDO Y DECIMO CUARTO MES</v>
      </c>
      <c r="K349" s="98" t="str">
        <f t="shared" si="8"/>
        <v>Posgrado</v>
      </c>
      <c r="L349" s="98" t="s">
        <v>394</v>
      </c>
    </row>
    <row r="350" spans="3:12" ht="15.75" thickBot="1" x14ac:dyDescent="0.3">
      <c r="C350" s="172" t="s">
        <v>59</v>
      </c>
      <c r="D350" s="163"/>
      <c r="E350" s="154">
        <v>0</v>
      </c>
      <c r="F350" s="117">
        <f>IF(E348&lt;6,"",((E348-6)/12)*(G348/E348))</f>
        <v>0</v>
      </c>
      <c r="G350" s="97">
        <f>F350</f>
        <v>0</v>
      </c>
      <c r="H350" s="164"/>
      <c r="I350" s="101" t="s">
        <v>518</v>
      </c>
      <c r="J350" s="101" t="str">
        <f>VLOOKUP(I350,Presupuesto!$B$11:$C$565,2,0)</f>
        <v>DECIMOCUARTO MES</v>
      </c>
      <c r="K350" s="98" t="str">
        <f t="shared" si="8"/>
        <v>Posgrado</v>
      </c>
      <c r="L350" s="98" t="s">
        <v>394</v>
      </c>
    </row>
    <row r="351" spans="3:12" ht="15.75" thickBot="1" x14ac:dyDescent="0.3">
      <c r="C351" s="137" t="s">
        <v>489</v>
      </c>
      <c r="D351" s="199"/>
      <c r="E351" s="152">
        <v>12</v>
      </c>
      <c r="F351" s="303">
        <f>HLOOKUP($C351,$BZ$2:$CM$3,2,0)</f>
        <v>13896.4</v>
      </c>
      <c r="G351" s="113">
        <f>D351*E351*F351</f>
        <v>0</v>
      </c>
      <c r="H351" s="166"/>
      <c r="I351" s="114" t="s">
        <v>495</v>
      </c>
      <c r="J351" s="114" t="str">
        <f>VLOOKUP(I351,Presupuesto!$B$11:$C$565,2,0)</f>
        <v>SUELDOS Y SALARIOS PERMANENTES</v>
      </c>
      <c r="K351" s="98" t="str">
        <f t="shared" si="8"/>
        <v>Posgrado</v>
      </c>
      <c r="L351" s="98" t="s">
        <v>394</v>
      </c>
    </row>
    <row r="352" spans="3:12" x14ac:dyDescent="0.25">
      <c r="C352" s="171" t="s">
        <v>58</v>
      </c>
      <c r="D352" s="163"/>
      <c r="E352" s="154">
        <v>0</v>
      </c>
      <c r="F352" s="100">
        <f>IF(E351=0,"",(G351/E351)/12*E351)</f>
        <v>0</v>
      </c>
      <c r="G352" s="97">
        <f>F352</f>
        <v>0</v>
      </c>
      <c r="H352" s="164"/>
      <c r="I352" s="116" t="s">
        <v>515</v>
      </c>
      <c r="J352" s="116" t="str">
        <f>VLOOKUP(I352,Presupuesto!$B$11:$C$565,2,0)</f>
        <v>AGUINALDO Y DECIMO CUARTO MES</v>
      </c>
      <c r="K352" s="98" t="str">
        <f t="shared" si="8"/>
        <v>Posgrado</v>
      </c>
      <c r="L352" s="98" t="s">
        <v>394</v>
      </c>
    </row>
    <row r="353" spans="3:12" ht="15.75" thickBot="1" x14ac:dyDescent="0.3">
      <c r="C353" s="172" t="s">
        <v>59</v>
      </c>
      <c r="D353" s="163"/>
      <c r="E353" s="154">
        <v>0</v>
      </c>
      <c r="F353" s="117">
        <f>IF(E351&lt;6,"",((E351-6)/12)*(G351/E351))</f>
        <v>0</v>
      </c>
      <c r="G353" s="97">
        <f>F353</f>
        <v>0</v>
      </c>
      <c r="H353" s="164"/>
      <c r="I353" s="101" t="s">
        <v>518</v>
      </c>
      <c r="J353" s="101" t="str">
        <f>VLOOKUP(I353,Presupuesto!$B$11:$C$565,2,0)</f>
        <v>DECIMOCUARTO MES</v>
      </c>
      <c r="K353" s="98" t="str">
        <f t="shared" si="8"/>
        <v>Posgrado</v>
      </c>
      <c r="L353" s="98" t="s">
        <v>394</v>
      </c>
    </row>
    <row r="354" spans="3:12" ht="15.75" thickBot="1" x14ac:dyDescent="0.3">
      <c r="C354" s="137" t="s">
        <v>490</v>
      </c>
      <c r="D354" s="199"/>
      <c r="E354" s="152">
        <v>12</v>
      </c>
      <c r="F354" s="303">
        <f>HLOOKUP($C354,$BZ$2:$CM$3,2,0)</f>
        <v>15004.09</v>
      </c>
      <c r="G354" s="113">
        <f>D354*E354*F354</f>
        <v>0</v>
      </c>
      <c r="H354" s="166"/>
      <c r="I354" s="114" t="s">
        <v>495</v>
      </c>
      <c r="J354" s="114" t="str">
        <f>VLOOKUP(I354,Presupuesto!$B$11:$C$565,2,0)</f>
        <v>SUELDOS Y SALARIOS PERMANENTES</v>
      </c>
      <c r="K354" s="98" t="str">
        <f t="shared" si="8"/>
        <v>Posgrado</v>
      </c>
      <c r="L354" s="98" t="s">
        <v>394</v>
      </c>
    </row>
    <row r="355" spans="3:12" x14ac:dyDescent="0.25">
      <c r="C355" s="171" t="s">
        <v>58</v>
      </c>
      <c r="D355" s="163"/>
      <c r="E355" s="154">
        <v>0</v>
      </c>
      <c r="F355" s="100">
        <f>IF(E354=0,"",(G354/E354)/12*E354)</f>
        <v>0</v>
      </c>
      <c r="G355" s="97">
        <f>F355</f>
        <v>0</v>
      </c>
      <c r="H355" s="164"/>
      <c r="I355" s="116" t="s">
        <v>515</v>
      </c>
      <c r="J355" s="116" t="str">
        <f>VLOOKUP(I355,Presupuesto!$B$11:$C$565,2,0)</f>
        <v>AGUINALDO Y DECIMO CUARTO MES</v>
      </c>
      <c r="K355" s="98" t="str">
        <f t="shared" si="8"/>
        <v>Posgrado</v>
      </c>
      <c r="L355" s="98" t="s">
        <v>394</v>
      </c>
    </row>
    <row r="356" spans="3:12" ht="15.75" thickBot="1" x14ac:dyDescent="0.3">
      <c r="C356" s="172" t="s">
        <v>59</v>
      </c>
      <c r="D356" s="163"/>
      <c r="E356" s="154">
        <v>0</v>
      </c>
      <c r="F356" s="117">
        <f>IF(E354&lt;6,"",((E354-6)/12)*(G354/E354))</f>
        <v>0</v>
      </c>
      <c r="G356" s="97">
        <f>F356</f>
        <v>0</v>
      </c>
      <c r="H356" s="164"/>
      <c r="I356" s="101" t="s">
        <v>518</v>
      </c>
      <c r="J356" s="101" t="str">
        <f>VLOOKUP(I356,Presupuesto!$B$11:$C$565,2,0)</f>
        <v>DECIMOCUARTO MES</v>
      </c>
      <c r="K356" s="98" t="str">
        <f t="shared" si="8"/>
        <v>Posgrado</v>
      </c>
      <c r="L356" s="98" t="s">
        <v>394</v>
      </c>
    </row>
    <row r="357" spans="3:12" ht="15.75" thickBot="1" x14ac:dyDescent="0.3">
      <c r="C357" s="137" t="s">
        <v>491</v>
      </c>
      <c r="D357" s="199"/>
      <c r="E357" s="152">
        <v>12</v>
      </c>
      <c r="F357" s="303">
        <f>HLOOKUP($C357,$BZ$2:$CM$3,2,0)</f>
        <v>13238.9</v>
      </c>
      <c r="G357" s="113">
        <f>D357*E357*F357</f>
        <v>0</v>
      </c>
      <c r="H357" s="166"/>
      <c r="I357" s="114" t="s">
        <v>495</v>
      </c>
      <c r="J357" s="114" t="str">
        <f>VLOOKUP(I357,Presupuesto!$B$11:$C$565,2,0)</f>
        <v>SUELDOS Y SALARIOS PERMANENTES</v>
      </c>
      <c r="K357" s="98" t="str">
        <f t="shared" si="8"/>
        <v>Posgrado</v>
      </c>
      <c r="L357" s="98" t="s">
        <v>394</v>
      </c>
    </row>
    <row r="358" spans="3:12" x14ac:dyDescent="0.25">
      <c r="C358" s="171" t="s">
        <v>58</v>
      </c>
      <c r="D358" s="163"/>
      <c r="E358" s="154">
        <v>0</v>
      </c>
      <c r="F358" s="100">
        <f>IF(E357=0,"",(G357/E357)/12*E357)</f>
        <v>0</v>
      </c>
      <c r="G358" s="97">
        <f>F358</f>
        <v>0</v>
      </c>
      <c r="H358" s="164"/>
      <c r="I358" s="116" t="s">
        <v>515</v>
      </c>
      <c r="J358" s="116" t="str">
        <f>VLOOKUP(I358,Presupuesto!$B$11:$C$565,2,0)</f>
        <v>AGUINALDO Y DECIMO CUARTO MES</v>
      </c>
      <c r="K358" s="98" t="str">
        <f t="shared" si="8"/>
        <v>Posgrado</v>
      </c>
      <c r="L358" s="98" t="s">
        <v>394</v>
      </c>
    </row>
    <row r="359" spans="3:12" ht="15.75" thickBot="1" x14ac:dyDescent="0.3">
      <c r="C359" s="172" t="s">
        <v>59</v>
      </c>
      <c r="D359" s="163"/>
      <c r="E359" s="154">
        <v>0</v>
      </c>
      <c r="F359" s="117">
        <f>IF(E357&lt;6,"",((E357-6)/12)*(G357/E357))</f>
        <v>0</v>
      </c>
      <c r="G359" s="97">
        <f>F359</f>
        <v>0</v>
      </c>
      <c r="H359" s="164"/>
      <c r="I359" s="101" t="s">
        <v>518</v>
      </c>
      <c r="J359" s="101" t="str">
        <f>VLOOKUP(I359,Presupuesto!$B$11:$C$565,2,0)</f>
        <v>DECIMOCUARTO MES</v>
      </c>
      <c r="K359" s="98" t="str">
        <f t="shared" si="8"/>
        <v>Posgrado</v>
      </c>
      <c r="L359" s="98" t="s">
        <v>394</v>
      </c>
    </row>
    <row r="360" spans="3:12" ht="15.75" thickBot="1" x14ac:dyDescent="0.3">
      <c r="C360" s="137" t="s">
        <v>492</v>
      </c>
      <c r="D360" s="199"/>
      <c r="E360" s="152">
        <v>12</v>
      </c>
      <c r="F360" s="303">
        <f>HLOOKUP($C360,$BZ$2:$CM$3,2,0)</f>
        <v>12356.31</v>
      </c>
      <c r="G360" s="113">
        <f>D360*E360*F360</f>
        <v>0</v>
      </c>
      <c r="H360" s="166"/>
      <c r="I360" s="114" t="s">
        <v>495</v>
      </c>
      <c r="J360" s="114" t="str">
        <f>VLOOKUP(I360,Presupuesto!$B$11:$C$565,2,0)</f>
        <v>SUELDOS Y SALARIOS PERMANENTES</v>
      </c>
      <c r="K360" s="98" t="str">
        <f t="shared" ref="K360:K377" si="9">$K$327</f>
        <v>Posgrado</v>
      </c>
      <c r="L360" s="98" t="s">
        <v>394</v>
      </c>
    </row>
    <row r="361" spans="3:12" x14ac:dyDescent="0.25">
      <c r="C361" s="171" t="s">
        <v>58</v>
      </c>
      <c r="D361" s="163"/>
      <c r="E361" s="154">
        <v>0</v>
      </c>
      <c r="F361" s="100">
        <f>IF(E360=0,"",(G360/E360)/12*E360)</f>
        <v>0</v>
      </c>
      <c r="G361" s="97">
        <f>F361</f>
        <v>0</v>
      </c>
      <c r="H361" s="164"/>
      <c r="I361" s="116" t="s">
        <v>515</v>
      </c>
      <c r="J361" s="116" t="str">
        <f>VLOOKUP(I361,Presupuesto!$B$11:$C$565,2,0)</f>
        <v>AGUINALDO Y DECIMO CUARTO MES</v>
      </c>
      <c r="K361" s="98" t="str">
        <f t="shared" si="9"/>
        <v>Posgrado</v>
      </c>
      <c r="L361" s="98" t="s">
        <v>394</v>
      </c>
    </row>
    <row r="362" spans="3:12" ht="15.75" thickBot="1" x14ac:dyDescent="0.3">
      <c r="C362" s="172" t="s">
        <v>59</v>
      </c>
      <c r="D362" s="163"/>
      <c r="E362" s="154">
        <v>0</v>
      </c>
      <c r="F362" s="117">
        <f>IF(E360&lt;6,"",((E360-6)/12)*(G360/E360))</f>
        <v>0</v>
      </c>
      <c r="G362" s="97">
        <f>F362</f>
        <v>0</v>
      </c>
      <c r="H362" s="164"/>
      <c r="I362" s="101" t="s">
        <v>518</v>
      </c>
      <c r="J362" s="101" t="str">
        <f>VLOOKUP(I362,Presupuesto!$B$11:$C$565,2,0)</f>
        <v>DECIMOCUARTO MES</v>
      </c>
      <c r="K362" s="98" t="str">
        <f t="shared" si="9"/>
        <v>Posgrado</v>
      </c>
      <c r="L362" s="98" t="s">
        <v>394</v>
      </c>
    </row>
    <row r="363" spans="3:12" ht="15.75" thickBot="1" x14ac:dyDescent="0.3">
      <c r="C363" s="137" t="s">
        <v>493</v>
      </c>
      <c r="D363" s="199"/>
      <c r="E363" s="152">
        <v>12</v>
      </c>
      <c r="F363" s="303">
        <f>HLOOKUP($C363,$BZ$2:$CM$3,2,0)</f>
        <v>463.22</v>
      </c>
      <c r="G363" s="113">
        <f>D363*E363*F363</f>
        <v>0</v>
      </c>
      <c r="H363" s="166"/>
      <c r="I363" s="114" t="s">
        <v>495</v>
      </c>
      <c r="J363" s="114" t="str">
        <f>VLOOKUP(I363,Presupuesto!$B$11:$C$565,2,0)</f>
        <v>SUELDOS Y SALARIOS PERMANENTES</v>
      </c>
      <c r="K363" s="98" t="str">
        <f t="shared" si="9"/>
        <v>Posgrado</v>
      </c>
      <c r="L363" s="98" t="s">
        <v>394</v>
      </c>
    </row>
    <row r="364" spans="3:12" x14ac:dyDescent="0.25">
      <c r="C364" s="171" t="s">
        <v>58</v>
      </c>
      <c r="D364" s="163"/>
      <c r="E364" s="154">
        <v>0</v>
      </c>
      <c r="F364" s="100">
        <f>IF(E363=0,"",(G363/E363)/12*E363)</f>
        <v>0</v>
      </c>
      <c r="G364" s="97">
        <f>F364</f>
        <v>0</v>
      </c>
      <c r="H364" s="164"/>
      <c r="I364" s="116" t="s">
        <v>515</v>
      </c>
      <c r="J364" s="116" t="str">
        <f>VLOOKUP(I364,Presupuesto!$B$11:$C$565,2,0)</f>
        <v>AGUINALDO Y DECIMO CUARTO MES</v>
      </c>
      <c r="K364" s="98" t="str">
        <f t="shared" si="9"/>
        <v>Posgrado</v>
      </c>
      <c r="L364" s="98" t="s">
        <v>394</v>
      </c>
    </row>
    <row r="365" spans="3:12" ht="15.75" thickBot="1" x14ac:dyDescent="0.3">
      <c r="C365" s="172" t="s">
        <v>59</v>
      </c>
      <c r="D365" s="163"/>
      <c r="E365" s="154">
        <v>0</v>
      </c>
      <c r="F365" s="117">
        <f>IF(E363&lt;6,"",((E363-6)/12)*(G363/E363))</f>
        <v>0</v>
      </c>
      <c r="G365" s="97">
        <f>F365</f>
        <v>0</v>
      </c>
      <c r="H365" s="164"/>
      <c r="I365" s="101" t="s">
        <v>518</v>
      </c>
      <c r="J365" s="101" t="str">
        <f>VLOOKUP(I365,Presupuesto!$B$11:$C$565,2,0)</f>
        <v>DECIMOCUARTO MES</v>
      </c>
      <c r="K365" s="98" t="str">
        <f t="shared" si="9"/>
        <v>Posgrado</v>
      </c>
      <c r="L365" s="98" t="s">
        <v>394</v>
      </c>
    </row>
    <row r="366" spans="3:12" ht="15.75" thickBot="1" x14ac:dyDescent="0.3">
      <c r="C366" s="137" t="s">
        <v>494</v>
      </c>
      <c r="D366" s="199"/>
      <c r="E366" s="152">
        <v>12</v>
      </c>
      <c r="F366" s="303">
        <f>HLOOKUP($C366,$BZ$2:$CM$3,2,0)</f>
        <v>2007.3</v>
      </c>
      <c r="G366" s="113">
        <f>D366*E366*F366</f>
        <v>0</v>
      </c>
      <c r="H366" s="166"/>
      <c r="I366" s="114" t="s">
        <v>495</v>
      </c>
      <c r="J366" s="114" t="str">
        <f>VLOOKUP(I366,Presupuesto!$B$11:$C$565,2,0)</f>
        <v>SUELDOS Y SALARIOS PERMANENTES</v>
      </c>
      <c r="K366" s="98" t="str">
        <f t="shared" si="9"/>
        <v>Posgrado</v>
      </c>
      <c r="L366" s="98" t="s">
        <v>394</v>
      </c>
    </row>
    <row r="367" spans="3:12" x14ac:dyDescent="0.25">
      <c r="C367" s="171" t="s">
        <v>58</v>
      </c>
      <c r="D367" s="163"/>
      <c r="E367" s="154">
        <v>0</v>
      </c>
      <c r="F367" s="100">
        <f>IF(E366=0,"",(G366/E366)/12*E366)</f>
        <v>0</v>
      </c>
      <c r="G367" s="97">
        <f>F367</f>
        <v>0</v>
      </c>
      <c r="H367" s="164"/>
      <c r="I367" s="116" t="s">
        <v>515</v>
      </c>
      <c r="J367" s="116" t="str">
        <f>VLOOKUP(I367,Presupuesto!$B$11:$C$565,2,0)</f>
        <v>AGUINALDO Y DECIMO CUARTO MES</v>
      </c>
      <c r="K367" s="98" t="str">
        <f t="shared" si="9"/>
        <v>Posgrado</v>
      </c>
      <c r="L367" s="98" t="s">
        <v>394</v>
      </c>
    </row>
    <row r="368" spans="3:12" ht="15.75" thickBot="1" x14ac:dyDescent="0.3">
      <c r="C368" s="172" t="s">
        <v>59</v>
      </c>
      <c r="D368" s="163"/>
      <c r="E368" s="154">
        <v>0</v>
      </c>
      <c r="F368" s="117">
        <f>IF(E366&lt;6,"",((E366-6)/12)*(G366/E366))</f>
        <v>0</v>
      </c>
      <c r="G368" s="97">
        <f>F368</f>
        <v>0</v>
      </c>
      <c r="H368" s="164"/>
      <c r="I368" s="101" t="s">
        <v>518</v>
      </c>
      <c r="J368" s="101" t="str">
        <f>VLOOKUP(I368,Presupuesto!$B$11:$C$565,2,0)</f>
        <v>DECIMOCUARTO MES</v>
      </c>
      <c r="K368" s="98" t="str">
        <f t="shared" si="9"/>
        <v>Posgrado</v>
      </c>
      <c r="L368" s="98" t="s">
        <v>394</v>
      </c>
    </row>
    <row r="369" spans="3:12" ht="15.75" thickBot="1" x14ac:dyDescent="0.3">
      <c r="C369" s="140" t="s">
        <v>83</v>
      </c>
      <c r="D369" s="199"/>
      <c r="E369" s="152">
        <v>12</v>
      </c>
      <c r="F369" s="139">
        <v>30000</v>
      </c>
      <c r="G369" s="113">
        <f>D369*E369*F369</f>
        <v>0</v>
      </c>
      <c r="H369" s="166"/>
      <c r="I369" s="114" t="s">
        <v>563</v>
      </c>
      <c r="J369" s="114" t="str">
        <f>VLOOKUP(I369,Presupuesto!$B$11:$C$565,2,0)</f>
        <v>CONTRATOS ESPECIALES</v>
      </c>
      <c r="K369" s="98" t="str">
        <f t="shared" si="9"/>
        <v>Posgrado</v>
      </c>
      <c r="L369" s="98" t="s">
        <v>394</v>
      </c>
    </row>
    <row r="370" spans="3:12" x14ac:dyDescent="0.25">
      <c r="C370" s="171" t="s">
        <v>58</v>
      </c>
      <c r="D370" s="163"/>
      <c r="E370" s="154">
        <v>0</v>
      </c>
      <c r="F370" s="117">
        <f>IF(E369=0,"",(G369/E369)/12*E369)</f>
        <v>0</v>
      </c>
      <c r="G370" s="97">
        <f>F370</f>
        <v>0</v>
      </c>
      <c r="H370" s="164"/>
      <c r="I370" s="101" t="s">
        <v>563</v>
      </c>
      <c r="J370" s="101" t="str">
        <f>VLOOKUP(I370,Presupuesto!$B$11:$C$565,2,0)</f>
        <v>CONTRATOS ESPECIALES</v>
      </c>
      <c r="K370" s="98" t="str">
        <f t="shared" si="9"/>
        <v>Posgrado</v>
      </c>
      <c r="L370" s="98" t="s">
        <v>393</v>
      </c>
    </row>
    <row r="371" spans="3:12" ht="15.75" thickBot="1" x14ac:dyDescent="0.3">
      <c r="C371" s="172" t="s">
        <v>59</v>
      </c>
      <c r="D371" s="163"/>
      <c r="E371" s="154">
        <v>0</v>
      </c>
      <c r="F371" s="100">
        <f>IF(E369&lt;6,"",((E369-6)/12)*(G369/E369))</f>
        <v>0</v>
      </c>
      <c r="G371" s="97">
        <f>F371</f>
        <v>0</v>
      </c>
      <c r="H371" s="164"/>
      <c r="I371" s="101" t="s">
        <v>563</v>
      </c>
      <c r="J371" s="101" t="str">
        <f>VLOOKUP(I371,Presupuesto!$B$11:$C$565,2,0)</f>
        <v>CONTRATOS ESPECIALES</v>
      </c>
      <c r="K371" s="98" t="str">
        <f t="shared" si="9"/>
        <v>Posgrado</v>
      </c>
      <c r="L371" s="98" t="s">
        <v>398</v>
      </c>
    </row>
    <row r="372" spans="3:12" ht="15.75" thickBot="1" x14ac:dyDescent="0.3">
      <c r="C372" s="140" t="s">
        <v>60</v>
      </c>
      <c r="D372" s="199"/>
      <c r="E372" s="152">
        <v>12</v>
      </c>
      <c r="F372" s="118">
        <v>30000</v>
      </c>
      <c r="G372" s="113">
        <f>D372*E372*F372</f>
        <v>0</v>
      </c>
      <c r="H372" s="166"/>
      <c r="I372" s="114" t="s">
        <v>704</v>
      </c>
      <c r="J372" s="114" t="str">
        <f>VLOOKUP(I372,Presupuesto!$B$11:$C$565,2,0)</f>
        <v>OTROS SERVICIOS TECNICOS Y PROFESIONALES</v>
      </c>
      <c r="K372" s="98" t="str">
        <f t="shared" si="9"/>
        <v>Posgrado</v>
      </c>
      <c r="L372" s="98" t="s">
        <v>393</v>
      </c>
    </row>
    <row r="373" spans="3:12" x14ac:dyDescent="0.25">
      <c r="C373" s="171" t="s">
        <v>58</v>
      </c>
      <c r="D373" s="163"/>
      <c r="E373" s="154">
        <v>0</v>
      </c>
      <c r="F373" s="100">
        <v>0</v>
      </c>
      <c r="G373" s="97">
        <f>F373</f>
        <v>0</v>
      </c>
      <c r="H373" s="164"/>
      <c r="I373" s="101" t="s">
        <v>704</v>
      </c>
      <c r="J373" s="101" t="str">
        <f>VLOOKUP(I373,Presupuesto!$B$11:$C$565,2,0)</f>
        <v>OTROS SERVICIOS TECNICOS Y PROFESIONALES</v>
      </c>
      <c r="K373" s="98" t="str">
        <f t="shared" si="9"/>
        <v>Posgrado</v>
      </c>
      <c r="L373" s="98" t="s">
        <v>393</v>
      </c>
    </row>
    <row r="374" spans="3:12" ht="15.75" thickBot="1" x14ac:dyDescent="0.3">
      <c r="C374" s="172" t="s">
        <v>59</v>
      </c>
      <c r="D374" s="163"/>
      <c r="E374" s="154">
        <v>0</v>
      </c>
      <c r="F374" s="100">
        <v>0</v>
      </c>
      <c r="G374" s="97">
        <f>F374</f>
        <v>0</v>
      </c>
      <c r="H374" s="164"/>
      <c r="I374" s="101" t="s">
        <v>704</v>
      </c>
      <c r="J374" s="101" t="str">
        <f>VLOOKUP(I374,Presupuesto!$B$11:$C$565,2,0)</f>
        <v>OTROS SERVICIOS TECNICOS Y PROFESIONALES</v>
      </c>
      <c r="K374" s="98" t="str">
        <f t="shared" si="9"/>
        <v>Posgrado</v>
      </c>
      <c r="L374" s="98" t="s">
        <v>393</v>
      </c>
    </row>
    <row r="375" spans="3:12" ht="15.75" thickBot="1" x14ac:dyDescent="0.3">
      <c r="C375" s="140" t="s">
        <v>61</v>
      </c>
      <c r="D375" s="199"/>
      <c r="E375" s="152">
        <v>12</v>
      </c>
      <c r="F375" s="118">
        <v>30000</v>
      </c>
      <c r="G375" s="113">
        <f>D375*E375*F375</f>
        <v>0</v>
      </c>
      <c r="H375" s="166"/>
      <c r="I375" s="114" t="s">
        <v>495</v>
      </c>
      <c r="J375" s="114" t="str">
        <f>VLOOKUP(I375,Presupuesto!$B$11:$C$565,2,0)</f>
        <v>SUELDOS Y SALARIOS PERMANENTES</v>
      </c>
      <c r="K375" s="98" t="str">
        <f t="shared" si="9"/>
        <v>Posgrado</v>
      </c>
      <c r="L375" s="98" t="s">
        <v>393</v>
      </c>
    </row>
    <row r="376" spans="3:12" x14ac:dyDescent="0.25">
      <c r="C376" s="171" t="s">
        <v>58</v>
      </c>
      <c r="D376" s="169"/>
      <c r="E376" s="131">
        <v>0</v>
      </c>
      <c r="F376" s="119">
        <f>IF(E375=0,"",(G375/E375)/12*E375)</f>
        <v>0</v>
      </c>
      <c r="G376" s="120">
        <f>F376</f>
        <v>0</v>
      </c>
      <c r="H376" s="164"/>
      <c r="I376" s="101" t="s">
        <v>515</v>
      </c>
      <c r="J376" s="101" t="str">
        <f>VLOOKUP(I376,Presupuesto!$B$11:$C$565,2,0)</f>
        <v>AGUINALDO Y DECIMO CUARTO MES</v>
      </c>
      <c r="K376" s="98" t="str">
        <f t="shared" si="9"/>
        <v>Posgrado</v>
      </c>
      <c r="L376" s="98" t="s">
        <v>393</v>
      </c>
    </row>
    <row r="377" spans="3:12" ht="15.75" thickBot="1" x14ac:dyDescent="0.3">
      <c r="C377" s="173" t="s">
        <v>59</v>
      </c>
      <c r="D377" s="162"/>
      <c r="E377" s="132">
        <v>0</v>
      </c>
      <c r="F377" s="105">
        <f>IF(E375&lt;6,"",((E375-6)/12)*(G375/E375))</f>
        <v>0</v>
      </c>
      <c r="G377" s="105">
        <f>F377</f>
        <v>0</v>
      </c>
      <c r="H377" s="162"/>
      <c r="I377" s="106" t="s">
        <v>518</v>
      </c>
      <c r="J377" s="124" t="str">
        <f>VLOOKUP(I377,Presupuesto!$B$11:$C$565,2,0)</f>
        <v>DECIMOCUARTO MES</v>
      </c>
      <c r="K377" s="106" t="str">
        <f t="shared" si="9"/>
        <v>Posgrado</v>
      </c>
      <c r="L377" s="124" t="s">
        <v>393</v>
      </c>
    </row>
    <row r="379" spans="3:12" ht="15.75" thickBot="1" x14ac:dyDescent="0.3">
      <c r="K379" s="153"/>
    </row>
    <row r="380" spans="3:12" ht="15.75" thickBot="1" x14ac:dyDescent="0.3">
      <c r="C380" s="69" t="s">
        <v>43</v>
      </c>
      <c r="D380" s="30">
        <f>SUM(G387:G437)</f>
        <v>0</v>
      </c>
      <c r="E380" s="93"/>
      <c r="F380" s="93"/>
      <c r="G380" s="93"/>
      <c r="H380" s="76"/>
      <c r="I380" s="76"/>
      <c r="J380" s="76"/>
      <c r="K380" s="153"/>
    </row>
    <row r="381" spans="3:12" x14ac:dyDescent="0.25">
      <c r="D381" s="31"/>
      <c r="E381" s="93"/>
      <c r="F381" s="93"/>
      <c r="G381" s="93"/>
      <c r="H381" s="76"/>
      <c r="I381" s="76"/>
      <c r="J381" s="76"/>
      <c r="K381" s="153"/>
    </row>
    <row r="382" spans="3:12" x14ac:dyDescent="0.25">
      <c r="D382" s="31"/>
      <c r="E382" s="93"/>
      <c r="F382" s="93"/>
      <c r="G382" s="93"/>
      <c r="H382" s="76"/>
      <c r="I382" s="76"/>
      <c r="J382" s="76"/>
      <c r="K382" s="153"/>
    </row>
    <row r="383" spans="3:12" ht="15.75" x14ac:dyDescent="0.25">
      <c r="C383" s="202" t="s">
        <v>391</v>
      </c>
      <c r="D383" s="368"/>
      <c r="E383" s="93"/>
      <c r="F383" s="93"/>
      <c r="G383" s="93"/>
      <c r="H383" s="76"/>
      <c r="I383" s="76"/>
      <c r="J383" s="76"/>
      <c r="K383" s="153"/>
    </row>
    <row r="384" spans="3:12" ht="18.75" x14ac:dyDescent="0.25">
      <c r="C384" s="210" t="e">
        <f>IFERROR(VLOOKUP(D383,'1. Desarrollo e Innov. Curricu.'!$F:$G,2,FALSE),IFERROR(VLOOKUP(D383,'2. Investigación Científica'!$F:$G,2,FALSE),IFERROR(VLOOKUP(D383,'3. Vinculación Univ. Sociedad'!$F:$G,2,FALSE),IFERROR(VLOOKUP(D383,'4. Docencia y Profesorado Univ.'!$F:$G,2,FALSE),IFERROR(VLOOKUP(D383,'5. Estudiantes y Graduados'!$F:$G,2,FALSE),IFERROR(VLOOKUP(D383,'11. Gestion Administrativa'!$F:$G,2,FALSE),IFERROR(VLOOKUP(D383,'13. Gestión Académica'!$F:$G,2,FALSE),IFERROR(VLOOKUP(D383,'9. Asegura. de la Calid. y M'!$F:$G,2,FALSE),IFERROR(VLOOKUP(D383,'6. Gestión del Conocimiento'!$F:$G,2,FALSE),IFERROR(VLOOKUP(D383,'15. Gobernabilidad y Proceso...'!$F:$G,2,FALSE),IFERROR(VLOOKUP(D383,'12. Gestión del Talento Humano'!$F:$G,2,FALSE),IFERROR(VLOOKUP(D383,'14. Internacional... de la E.S.'!$F:$G,2,FALSE),IFERROR(VLOOKUP(D383,'10. Posgrado'!$F:$G,2,FALSE),IFERROR(VLOOKUP(D383,'17. Gestión TIC'!$F:$G,2,FALSE),IFERROR(VLOOKUP(D383,'16. Desa. del Sistema Educ.Sup.'!$F:$G,2,FALSE),IFERROR(VLOOKUP(D383,'8. Cultura de Inno. Insti...'!$F:$G,2,FALSE),VLOOKUP(D383,'7. Lo Esencial de la Reforma U.'!$F:$G,2,0)))))))))))))))))</f>
        <v>#N/A</v>
      </c>
      <c r="D384" s="31"/>
      <c r="E384" s="93"/>
      <c r="F384" s="93"/>
      <c r="G384" s="93"/>
      <c r="H384" s="76"/>
      <c r="I384" s="76"/>
      <c r="J384" s="76"/>
      <c r="K384" s="153"/>
    </row>
    <row r="385" spans="3:12" ht="15.75" thickBot="1" x14ac:dyDescent="0.3">
      <c r="C385" s="177"/>
      <c r="D385" s="31"/>
      <c r="E385" s="93"/>
      <c r="F385" s="93"/>
      <c r="G385" s="93"/>
      <c r="H385" s="76"/>
      <c r="I385" s="76"/>
      <c r="J385" s="76"/>
      <c r="K385" s="153"/>
    </row>
    <row r="386" spans="3:12" ht="30.75" thickBot="1" x14ac:dyDescent="0.3">
      <c r="C386" s="134" t="s">
        <v>44</v>
      </c>
      <c r="D386" s="138" t="s">
        <v>55</v>
      </c>
      <c r="E386" s="170" t="s">
        <v>56</v>
      </c>
      <c r="F386" s="138" t="s">
        <v>57</v>
      </c>
      <c r="G386" s="135" t="s">
        <v>27</v>
      </c>
      <c r="H386" s="133" t="s">
        <v>130</v>
      </c>
      <c r="I386" s="136" t="s">
        <v>46</v>
      </c>
      <c r="J386" s="136" t="s">
        <v>131</v>
      </c>
      <c r="K386" s="136" t="s">
        <v>409</v>
      </c>
      <c r="L386" s="136" t="s">
        <v>410</v>
      </c>
    </row>
    <row r="387" spans="3:12" ht="15.75" thickBot="1" x14ac:dyDescent="0.3">
      <c r="C387" s="137" t="s">
        <v>481</v>
      </c>
      <c r="D387" s="199"/>
      <c r="E387" s="152">
        <v>12</v>
      </c>
      <c r="F387" s="303">
        <f>HLOOKUP($C387,$BZ$2:$CM$3,2,0)</f>
        <v>43674.39</v>
      </c>
      <c r="G387" s="113">
        <f>D387*E387*F387</f>
        <v>0</v>
      </c>
      <c r="H387" s="166"/>
      <c r="I387" s="114" t="s">
        <v>495</v>
      </c>
      <c r="J387" s="114" t="str">
        <f>VLOOKUP(I387,Presupuesto!$B$11:$C$565,2,0)</f>
        <v>SUELDOS Y SALARIOS PERMANENTES</v>
      </c>
      <c r="K387" s="218" t="s">
        <v>1449</v>
      </c>
      <c r="L387" s="98" t="s">
        <v>393</v>
      </c>
    </row>
    <row r="388" spans="3:12" x14ac:dyDescent="0.25">
      <c r="C388" s="171" t="s">
        <v>58</v>
      </c>
      <c r="D388" s="163"/>
      <c r="E388" s="154">
        <v>0</v>
      </c>
      <c r="F388" s="100">
        <f>IF(E387=0,"",(G387/E387)/12*E387)</f>
        <v>0</v>
      </c>
      <c r="G388" s="97">
        <f>F388</f>
        <v>0</v>
      </c>
      <c r="H388" s="164"/>
      <c r="I388" s="116" t="s">
        <v>515</v>
      </c>
      <c r="J388" s="116" t="str">
        <f>VLOOKUP(I388,Presupuesto!$B$11:$C$565,2,0)</f>
        <v>AGUINALDO Y DECIMO CUARTO MES</v>
      </c>
      <c r="K388" s="98" t="str">
        <f t="shared" ref="K388:K419" si="10">$K$387</f>
        <v>Posgrado</v>
      </c>
      <c r="L388" s="98" t="s">
        <v>411</v>
      </c>
    </row>
    <row r="389" spans="3:12" ht="15.75" thickBot="1" x14ac:dyDescent="0.3">
      <c r="C389" s="172" t="s">
        <v>59</v>
      </c>
      <c r="D389" s="163"/>
      <c r="E389" s="154">
        <v>0</v>
      </c>
      <c r="F389" s="117">
        <f>IF(E387&lt;6,"",((E387-6)/12)*(G387/E387))</f>
        <v>0</v>
      </c>
      <c r="G389" s="97">
        <f>F389</f>
        <v>0</v>
      </c>
      <c r="H389" s="164"/>
      <c r="I389" s="101" t="s">
        <v>518</v>
      </c>
      <c r="J389" s="101" t="str">
        <f>VLOOKUP(I389,Presupuesto!$B$11:$C$565,2,0)</f>
        <v>DECIMOCUARTO MES</v>
      </c>
      <c r="K389" s="98" t="str">
        <f t="shared" si="10"/>
        <v>Posgrado</v>
      </c>
      <c r="L389" s="98" t="s">
        <v>394</v>
      </c>
    </row>
    <row r="390" spans="3:12" ht="15.75" thickBot="1" x14ac:dyDescent="0.3">
      <c r="C390" s="137" t="s">
        <v>482</v>
      </c>
      <c r="D390" s="199"/>
      <c r="E390" s="152">
        <v>12</v>
      </c>
      <c r="F390" s="303">
        <f>HLOOKUP($C390,$BZ$2:$CM$3,2,0)</f>
        <v>39703.99</v>
      </c>
      <c r="G390" s="113">
        <f>D390*E390*F390</f>
        <v>0</v>
      </c>
      <c r="H390" s="166"/>
      <c r="I390" s="114" t="s">
        <v>495</v>
      </c>
      <c r="J390" s="114" t="str">
        <f>VLOOKUP(I390,Presupuesto!$B$11:$C$565,2,0)</f>
        <v>SUELDOS Y SALARIOS PERMANENTES</v>
      </c>
      <c r="K390" s="98" t="str">
        <f t="shared" si="10"/>
        <v>Posgrado</v>
      </c>
      <c r="L390" s="98" t="s">
        <v>394</v>
      </c>
    </row>
    <row r="391" spans="3:12" x14ac:dyDescent="0.25">
      <c r="C391" s="171" t="s">
        <v>58</v>
      </c>
      <c r="D391" s="163"/>
      <c r="E391" s="154">
        <v>0</v>
      </c>
      <c r="F391" s="100">
        <f>IF(E390=0,"",(G390/E390)/12*E390)</f>
        <v>0</v>
      </c>
      <c r="G391" s="97">
        <f>F391</f>
        <v>0</v>
      </c>
      <c r="H391" s="164"/>
      <c r="I391" s="116" t="s">
        <v>515</v>
      </c>
      <c r="J391" s="116" t="str">
        <f>VLOOKUP(I391,Presupuesto!$B$11:$C$565,2,0)</f>
        <v>AGUINALDO Y DECIMO CUARTO MES</v>
      </c>
      <c r="K391" s="98" t="str">
        <f t="shared" si="10"/>
        <v>Posgrado</v>
      </c>
      <c r="L391" s="98" t="s">
        <v>394</v>
      </c>
    </row>
    <row r="392" spans="3:12" ht="15.75" thickBot="1" x14ac:dyDescent="0.3">
      <c r="C392" s="172" t="s">
        <v>59</v>
      </c>
      <c r="D392" s="163"/>
      <c r="E392" s="154">
        <v>0</v>
      </c>
      <c r="F392" s="117">
        <f>IF(E390&lt;6,"",((E390-6)/12)*(G390/E390))</f>
        <v>0</v>
      </c>
      <c r="G392" s="97">
        <f>F392</f>
        <v>0</v>
      </c>
      <c r="H392" s="164"/>
      <c r="I392" s="101" t="s">
        <v>518</v>
      </c>
      <c r="J392" s="101" t="str">
        <f>VLOOKUP(I392,Presupuesto!$B$11:$C$565,2,0)</f>
        <v>DECIMOCUARTO MES</v>
      </c>
      <c r="K392" s="98" t="str">
        <f t="shared" si="10"/>
        <v>Posgrado</v>
      </c>
      <c r="L392" s="98" t="s">
        <v>394</v>
      </c>
    </row>
    <row r="393" spans="3:12" ht="15.75" thickBot="1" x14ac:dyDescent="0.3">
      <c r="C393" s="137" t="s">
        <v>483</v>
      </c>
      <c r="D393" s="199"/>
      <c r="E393" s="152">
        <v>12</v>
      </c>
      <c r="F393" s="303">
        <f>HLOOKUP($C393,$BZ$2:$CM$3,2,0)</f>
        <v>35733.589999999997</v>
      </c>
      <c r="G393" s="113">
        <f>D393*E393*F393</f>
        <v>0</v>
      </c>
      <c r="H393" s="166"/>
      <c r="I393" s="114" t="s">
        <v>495</v>
      </c>
      <c r="J393" s="114" t="str">
        <f>VLOOKUP(I393,Presupuesto!$B$11:$C$565,2,0)</f>
        <v>SUELDOS Y SALARIOS PERMANENTES</v>
      </c>
      <c r="K393" s="98" t="str">
        <f t="shared" si="10"/>
        <v>Posgrado</v>
      </c>
      <c r="L393" s="98" t="s">
        <v>394</v>
      </c>
    </row>
    <row r="394" spans="3:12" x14ac:dyDescent="0.25">
      <c r="C394" s="171" t="s">
        <v>58</v>
      </c>
      <c r="D394" s="163"/>
      <c r="E394" s="154">
        <v>0</v>
      </c>
      <c r="F394" s="100">
        <f>IF(E393=0,"",(G393/E393)/12*E393)</f>
        <v>0</v>
      </c>
      <c r="G394" s="97">
        <f>F394</f>
        <v>0</v>
      </c>
      <c r="H394" s="164"/>
      <c r="I394" s="116" t="s">
        <v>515</v>
      </c>
      <c r="J394" s="116" t="str">
        <f>VLOOKUP(I394,Presupuesto!$B$11:$C$565,2,0)</f>
        <v>AGUINALDO Y DECIMO CUARTO MES</v>
      </c>
      <c r="K394" s="98" t="str">
        <f t="shared" si="10"/>
        <v>Posgrado</v>
      </c>
      <c r="L394" s="98" t="s">
        <v>394</v>
      </c>
    </row>
    <row r="395" spans="3:12" ht="15.75" thickBot="1" x14ac:dyDescent="0.3">
      <c r="C395" s="172" t="s">
        <v>59</v>
      </c>
      <c r="D395" s="163"/>
      <c r="E395" s="154">
        <v>0</v>
      </c>
      <c r="F395" s="117">
        <f>IF(E393&lt;6,"",((E393-6)/12)*(G393/E393))</f>
        <v>0</v>
      </c>
      <c r="G395" s="97">
        <f>F395</f>
        <v>0</v>
      </c>
      <c r="H395" s="164"/>
      <c r="I395" s="101" t="s">
        <v>518</v>
      </c>
      <c r="J395" s="101" t="str">
        <f>VLOOKUP(I395,Presupuesto!$B$11:$C$565,2,0)</f>
        <v>DECIMOCUARTO MES</v>
      </c>
      <c r="K395" s="98" t="str">
        <f t="shared" si="10"/>
        <v>Posgrado</v>
      </c>
      <c r="L395" s="98" t="s">
        <v>394</v>
      </c>
    </row>
    <row r="396" spans="3:12" ht="15.75" thickBot="1" x14ac:dyDescent="0.3">
      <c r="C396" s="137" t="s">
        <v>484</v>
      </c>
      <c r="D396" s="199"/>
      <c r="E396" s="152">
        <v>12</v>
      </c>
      <c r="F396" s="303">
        <f>HLOOKUP($C396,$BZ$2:$CM$3,2,0)</f>
        <v>31763.19</v>
      </c>
      <c r="G396" s="113">
        <f>D396*E396*F396</f>
        <v>0</v>
      </c>
      <c r="H396" s="166"/>
      <c r="I396" s="114" t="s">
        <v>495</v>
      </c>
      <c r="J396" s="114" t="str">
        <f>VLOOKUP(I396,Presupuesto!$B$11:$C$565,2,0)</f>
        <v>SUELDOS Y SALARIOS PERMANENTES</v>
      </c>
      <c r="K396" s="98" t="str">
        <f t="shared" si="10"/>
        <v>Posgrado</v>
      </c>
      <c r="L396" s="98" t="s">
        <v>394</v>
      </c>
    </row>
    <row r="397" spans="3:12" x14ac:dyDescent="0.25">
      <c r="C397" s="171" t="s">
        <v>58</v>
      </c>
      <c r="D397" s="163"/>
      <c r="E397" s="154">
        <v>0</v>
      </c>
      <c r="F397" s="100">
        <f>IF(E396=0,"",(G396/E396)/12*E396)</f>
        <v>0</v>
      </c>
      <c r="G397" s="97">
        <f>F397</f>
        <v>0</v>
      </c>
      <c r="H397" s="164"/>
      <c r="I397" s="116" t="s">
        <v>515</v>
      </c>
      <c r="J397" s="116" t="str">
        <f>VLOOKUP(I397,Presupuesto!$B$11:$C$565,2,0)</f>
        <v>AGUINALDO Y DECIMO CUARTO MES</v>
      </c>
      <c r="K397" s="98" t="str">
        <f t="shared" si="10"/>
        <v>Posgrado</v>
      </c>
      <c r="L397" s="98" t="s">
        <v>394</v>
      </c>
    </row>
    <row r="398" spans="3:12" ht="15.75" thickBot="1" x14ac:dyDescent="0.3">
      <c r="C398" s="172" t="s">
        <v>59</v>
      </c>
      <c r="D398" s="163"/>
      <c r="E398" s="154">
        <v>0</v>
      </c>
      <c r="F398" s="117">
        <f>IF(E396&lt;6,"",((E396-6)/12)*(G396/E396))</f>
        <v>0</v>
      </c>
      <c r="G398" s="97">
        <f>F398</f>
        <v>0</v>
      </c>
      <c r="H398" s="164"/>
      <c r="I398" s="101" t="s">
        <v>518</v>
      </c>
      <c r="J398" s="101" t="str">
        <f>VLOOKUP(I398,Presupuesto!$B$11:$C$565,2,0)</f>
        <v>DECIMOCUARTO MES</v>
      </c>
      <c r="K398" s="98" t="str">
        <f t="shared" si="10"/>
        <v>Posgrado</v>
      </c>
      <c r="L398" s="98" t="s">
        <v>394</v>
      </c>
    </row>
    <row r="399" spans="3:12" ht="15.75" thickBot="1" x14ac:dyDescent="0.3">
      <c r="C399" s="137" t="s">
        <v>485</v>
      </c>
      <c r="D399" s="199"/>
      <c r="E399" s="152">
        <v>12</v>
      </c>
      <c r="F399" s="303">
        <f>HLOOKUP($C399,$BZ$2:$CM$3,2,0)</f>
        <v>29777.99</v>
      </c>
      <c r="G399" s="113">
        <f>D399*E399*F399</f>
        <v>0</v>
      </c>
      <c r="H399" s="166"/>
      <c r="I399" s="114" t="s">
        <v>495</v>
      </c>
      <c r="J399" s="114" t="str">
        <f>VLOOKUP(I399,Presupuesto!$B$11:$C$565,2,0)</f>
        <v>SUELDOS Y SALARIOS PERMANENTES</v>
      </c>
      <c r="K399" s="98" t="str">
        <f t="shared" si="10"/>
        <v>Posgrado</v>
      </c>
      <c r="L399" s="98" t="s">
        <v>394</v>
      </c>
    </row>
    <row r="400" spans="3:12" x14ac:dyDescent="0.25">
      <c r="C400" s="171" t="s">
        <v>58</v>
      </c>
      <c r="D400" s="163"/>
      <c r="E400" s="154">
        <v>0</v>
      </c>
      <c r="F400" s="100">
        <f>IF(E399=0,"",(G399/E399)/12*E399)</f>
        <v>0</v>
      </c>
      <c r="G400" s="97">
        <f>F400</f>
        <v>0</v>
      </c>
      <c r="H400" s="164"/>
      <c r="I400" s="116" t="s">
        <v>515</v>
      </c>
      <c r="J400" s="116" t="str">
        <f>VLOOKUP(I400,Presupuesto!$B$11:$C$565,2,0)</f>
        <v>AGUINALDO Y DECIMO CUARTO MES</v>
      </c>
      <c r="K400" s="98" t="str">
        <f t="shared" si="10"/>
        <v>Posgrado</v>
      </c>
      <c r="L400" s="98" t="s">
        <v>394</v>
      </c>
    </row>
    <row r="401" spans="3:12" ht="15.75" thickBot="1" x14ac:dyDescent="0.3">
      <c r="C401" s="172" t="s">
        <v>59</v>
      </c>
      <c r="D401" s="163"/>
      <c r="E401" s="154">
        <v>0</v>
      </c>
      <c r="F401" s="117">
        <f>IF(E399&lt;6,"",((E399-6)/12)*(G399/E399))</f>
        <v>0</v>
      </c>
      <c r="G401" s="97">
        <f>F401</f>
        <v>0</v>
      </c>
      <c r="H401" s="164"/>
      <c r="I401" s="101" t="s">
        <v>518</v>
      </c>
      <c r="J401" s="101" t="str">
        <f>VLOOKUP(I401,Presupuesto!$B$11:$C$565,2,0)</f>
        <v>DECIMOCUARTO MES</v>
      </c>
      <c r="K401" s="98" t="str">
        <f t="shared" si="10"/>
        <v>Posgrado</v>
      </c>
      <c r="L401" s="98" t="s">
        <v>394</v>
      </c>
    </row>
    <row r="402" spans="3:12" ht="15.75" thickBot="1" x14ac:dyDescent="0.3">
      <c r="C402" s="137" t="s">
        <v>486</v>
      </c>
      <c r="D402" s="199"/>
      <c r="E402" s="152">
        <v>12</v>
      </c>
      <c r="F402" s="303">
        <f>HLOOKUP($C402,$BZ$2:$CM$3,2,0)</f>
        <v>27792.79</v>
      </c>
      <c r="G402" s="113">
        <f>D402*E402*F402</f>
        <v>0</v>
      </c>
      <c r="H402" s="166"/>
      <c r="I402" s="114" t="s">
        <v>495</v>
      </c>
      <c r="J402" s="114" t="str">
        <f>VLOOKUP(I402,Presupuesto!$B$11:$C$565,2,0)</f>
        <v>SUELDOS Y SALARIOS PERMANENTES</v>
      </c>
      <c r="K402" s="98" t="str">
        <f t="shared" si="10"/>
        <v>Posgrado</v>
      </c>
      <c r="L402" s="98" t="s">
        <v>394</v>
      </c>
    </row>
    <row r="403" spans="3:12" x14ac:dyDescent="0.25">
      <c r="C403" s="171" t="s">
        <v>58</v>
      </c>
      <c r="D403" s="163"/>
      <c r="E403" s="154">
        <v>0</v>
      </c>
      <c r="F403" s="100">
        <f>IF(E402=0,"",(G402/E402)/12*E402)</f>
        <v>0</v>
      </c>
      <c r="G403" s="97">
        <f>F403</f>
        <v>0</v>
      </c>
      <c r="H403" s="164"/>
      <c r="I403" s="116" t="s">
        <v>515</v>
      </c>
      <c r="J403" s="116" t="str">
        <f>VLOOKUP(I403,Presupuesto!$B$11:$C$565,2,0)</f>
        <v>AGUINALDO Y DECIMO CUARTO MES</v>
      </c>
      <c r="K403" s="98" t="str">
        <f t="shared" si="10"/>
        <v>Posgrado</v>
      </c>
      <c r="L403" s="98" t="s">
        <v>394</v>
      </c>
    </row>
    <row r="404" spans="3:12" ht="15.75" thickBot="1" x14ac:dyDescent="0.3">
      <c r="C404" s="172" t="s">
        <v>59</v>
      </c>
      <c r="D404" s="163"/>
      <c r="E404" s="154">
        <v>0</v>
      </c>
      <c r="F404" s="117">
        <f>IF(E402&lt;6,"",((E402-6)/12)*(G402/E402))</f>
        <v>0</v>
      </c>
      <c r="G404" s="97">
        <f>F404</f>
        <v>0</v>
      </c>
      <c r="H404" s="164"/>
      <c r="I404" s="101" t="s">
        <v>518</v>
      </c>
      <c r="J404" s="101" t="str">
        <f>VLOOKUP(I404,Presupuesto!$B$11:$C$565,2,0)</f>
        <v>DECIMOCUARTO MES</v>
      </c>
      <c r="K404" s="98" t="str">
        <f t="shared" si="10"/>
        <v>Posgrado</v>
      </c>
      <c r="L404" s="98" t="s">
        <v>394</v>
      </c>
    </row>
    <row r="405" spans="3:12" ht="15.75" thickBot="1" x14ac:dyDescent="0.3">
      <c r="C405" s="137" t="s">
        <v>487</v>
      </c>
      <c r="D405" s="199"/>
      <c r="E405" s="152">
        <v>12</v>
      </c>
      <c r="F405" s="303">
        <f>HLOOKUP($C405,$BZ$2:$CM$3,2,0)</f>
        <v>18859.39</v>
      </c>
      <c r="G405" s="113">
        <f>D405*E405*F405</f>
        <v>0</v>
      </c>
      <c r="H405" s="166"/>
      <c r="I405" s="114" t="s">
        <v>495</v>
      </c>
      <c r="J405" s="114" t="str">
        <f>VLOOKUP(I405,Presupuesto!$B$11:$C$565,2,0)</f>
        <v>SUELDOS Y SALARIOS PERMANENTES</v>
      </c>
      <c r="K405" s="98" t="str">
        <f t="shared" si="10"/>
        <v>Posgrado</v>
      </c>
      <c r="L405" s="98" t="s">
        <v>394</v>
      </c>
    </row>
    <row r="406" spans="3:12" x14ac:dyDescent="0.25">
      <c r="C406" s="171" t="s">
        <v>58</v>
      </c>
      <c r="D406" s="163"/>
      <c r="E406" s="154">
        <v>0</v>
      </c>
      <c r="F406" s="100">
        <f>IF(E405=0,"",(G405/E405)/12*E405)</f>
        <v>0</v>
      </c>
      <c r="G406" s="97">
        <f>F406</f>
        <v>0</v>
      </c>
      <c r="H406" s="164"/>
      <c r="I406" s="116" t="s">
        <v>515</v>
      </c>
      <c r="J406" s="116" t="str">
        <f>VLOOKUP(I406,Presupuesto!$B$11:$C$565,2,0)</f>
        <v>AGUINALDO Y DECIMO CUARTO MES</v>
      </c>
      <c r="K406" s="98" t="str">
        <f t="shared" si="10"/>
        <v>Posgrado</v>
      </c>
      <c r="L406" s="98" t="s">
        <v>394</v>
      </c>
    </row>
    <row r="407" spans="3:12" ht="15.75" thickBot="1" x14ac:dyDescent="0.3">
      <c r="C407" s="172" t="s">
        <v>59</v>
      </c>
      <c r="D407" s="163"/>
      <c r="E407" s="154">
        <v>0</v>
      </c>
      <c r="F407" s="117">
        <f>IF(E405&lt;6,"",((E405-6)/12)*(G405/E405))</f>
        <v>0</v>
      </c>
      <c r="G407" s="97">
        <f>F407</f>
        <v>0</v>
      </c>
      <c r="H407" s="164"/>
      <c r="I407" s="101" t="s">
        <v>518</v>
      </c>
      <c r="J407" s="101" t="str">
        <f>VLOOKUP(I407,Presupuesto!$B$11:$C$565,2,0)</f>
        <v>DECIMOCUARTO MES</v>
      </c>
      <c r="K407" s="98" t="str">
        <f t="shared" si="10"/>
        <v>Posgrado</v>
      </c>
      <c r="L407" s="98" t="s">
        <v>394</v>
      </c>
    </row>
    <row r="408" spans="3:12" ht="15.75" thickBot="1" x14ac:dyDescent="0.3">
      <c r="C408" s="137" t="s">
        <v>488</v>
      </c>
      <c r="D408" s="199"/>
      <c r="E408" s="152">
        <v>12</v>
      </c>
      <c r="F408" s="303">
        <f>HLOOKUP($C408,$BZ$2:$CM$3,2,0)</f>
        <v>17866.8</v>
      </c>
      <c r="G408" s="113">
        <f>D408*E408*F408</f>
        <v>0</v>
      </c>
      <c r="H408" s="166"/>
      <c r="I408" s="114" t="s">
        <v>495</v>
      </c>
      <c r="J408" s="114" t="str">
        <f>VLOOKUP(I408,Presupuesto!$B$11:$C$565,2,0)</f>
        <v>SUELDOS Y SALARIOS PERMANENTES</v>
      </c>
      <c r="K408" s="98" t="str">
        <f t="shared" si="10"/>
        <v>Posgrado</v>
      </c>
      <c r="L408" s="98" t="s">
        <v>394</v>
      </c>
    </row>
    <row r="409" spans="3:12" x14ac:dyDescent="0.25">
      <c r="C409" s="171" t="s">
        <v>58</v>
      </c>
      <c r="D409" s="163"/>
      <c r="E409" s="154">
        <v>0</v>
      </c>
      <c r="F409" s="100">
        <f>IF(E408=0,"",(G408/E408)/12*E408)</f>
        <v>0</v>
      </c>
      <c r="G409" s="97">
        <f>F409</f>
        <v>0</v>
      </c>
      <c r="H409" s="164"/>
      <c r="I409" s="116" t="s">
        <v>515</v>
      </c>
      <c r="J409" s="116" t="str">
        <f>VLOOKUP(I409,Presupuesto!$B$11:$C$565,2,0)</f>
        <v>AGUINALDO Y DECIMO CUARTO MES</v>
      </c>
      <c r="K409" s="98" t="str">
        <f t="shared" si="10"/>
        <v>Posgrado</v>
      </c>
      <c r="L409" s="98" t="s">
        <v>394</v>
      </c>
    </row>
    <row r="410" spans="3:12" ht="15.75" thickBot="1" x14ac:dyDescent="0.3">
      <c r="C410" s="172" t="s">
        <v>59</v>
      </c>
      <c r="D410" s="163"/>
      <c r="E410" s="154">
        <v>0</v>
      </c>
      <c r="F410" s="117">
        <f>IF(E408&lt;6,"",((E408-6)/12)*(G408/E408))</f>
        <v>0</v>
      </c>
      <c r="G410" s="97">
        <f>F410</f>
        <v>0</v>
      </c>
      <c r="H410" s="164"/>
      <c r="I410" s="101" t="s">
        <v>518</v>
      </c>
      <c r="J410" s="101" t="str">
        <f>VLOOKUP(I410,Presupuesto!$B$11:$C$565,2,0)</f>
        <v>DECIMOCUARTO MES</v>
      </c>
      <c r="K410" s="98" t="str">
        <f t="shared" si="10"/>
        <v>Posgrado</v>
      </c>
      <c r="L410" s="98" t="s">
        <v>394</v>
      </c>
    </row>
    <row r="411" spans="3:12" ht="15.75" thickBot="1" x14ac:dyDescent="0.3">
      <c r="C411" s="137" t="s">
        <v>489</v>
      </c>
      <c r="D411" s="199"/>
      <c r="E411" s="152">
        <v>12</v>
      </c>
      <c r="F411" s="303">
        <f>HLOOKUP($C411,$BZ$2:$CM$3,2,0)</f>
        <v>13896.4</v>
      </c>
      <c r="G411" s="113">
        <f>D411*E411*F411</f>
        <v>0</v>
      </c>
      <c r="H411" s="166"/>
      <c r="I411" s="114" t="s">
        <v>495</v>
      </c>
      <c r="J411" s="114" t="str">
        <f>VLOOKUP(I411,Presupuesto!$B$11:$C$565,2,0)</f>
        <v>SUELDOS Y SALARIOS PERMANENTES</v>
      </c>
      <c r="K411" s="98" t="str">
        <f t="shared" si="10"/>
        <v>Posgrado</v>
      </c>
      <c r="L411" s="98" t="s">
        <v>394</v>
      </c>
    </row>
    <row r="412" spans="3:12" x14ac:dyDescent="0.25">
      <c r="C412" s="171" t="s">
        <v>58</v>
      </c>
      <c r="D412" s="163"/>
      <c r="E412" s="154">
        <v>0</v>
      </c>
      <c r="F412" s="100">
        <f>IF(E411=0,"",(G411/E411)/12*E411)</f>
        <v>0</v>
      </c>
      <c r="G412" s="97">
        <f>F412</f>
        <v>0</v>
      </c>
      <c r="H412" s="164"/>
      <c r="I412" s="116" t="s">
        <v>515</v>
      </c>
      <c r="J412" s="116" t="str">
        <f>VLOOKUP(I412,Presupuesto!$B$11:$C$565,2,0)</f>
        <v>AGUINALDO Y DECIMO CUARTO MES</v>
      </c>
      <c r="K412" s="98" t="str">
        <f t="shared" si="10"/>
        <v>Posgrado</v>
      </c>
      <c r="L412" s="98" t="s">
        <v>394</v>
      </c>
    </row>
    <row r="413" spans="3:12" ht="15.75" thickBot="1" x14ac:dyDescent="0.3">
      <c r="C413" s="172" t="s">
        <v>59</v>
      </c>
      <c r="D413" s="163"/>
      <c r="E413" s="154">
        <v>0</v>
      </c>
      <c r="F413" s="117">
        <f>IF(E411&lt;6,"",((E411-6)/12)*(G411/E411))</f>
        <v>0</v>
      </c>
      <c r="G413" s="97">
        <f>F413</f>
        <v>0</v>
      </c>
      <c r="H413" s="164"/>
      <c r="I413" s="101" t="s">
        <v>518</v>
      </c>
      <c r="J413" s="101" t="str">
        <f>VLOOKUP(I413,Presupuesto!$B$11:$C$565,2,0)</f>
        <v>DECIMOCUARTO MES</v>
      </c>
      <c r="K413" s="98" t="str">
        <f t="shared" si="10"/>
        <v>Posgrado</v>
      </c>
      <c r="L413" s="98" t="s">
        <v>394</v>
      </c>
    </row>
    <row r="414" spans="3:12" ht="15.75" thickBot="1" x14ac:dyDescent="0.3">
      <c r="C414" s="137" t="s">
        <v>490</v>
      </c>
      <c r="D414" s="199"/>
      <c r="E414" s="152">
        <v>12</v>
      </c>
      <c r="F414" s="303">
        <f>HLOOKUP($C414,$BZ$2:$CM$3,2,0)</f>
        <v>15004.09</v>
      </c>
      <c r="G414" s="113">
        <f>D414*E414*F414</f>
        <v>0</v>
      </c>
      <c r="H414" s="166"/>
      <c r="I414" s="114" t="s">
        <v>495</v>
      </c>
      <c r="J414" s="114" t="str">
        <f>VLOOKUP(I414,Presupuesto!$B$11:$C$565,2,0)</f>
        <v>SUELDOS Y SALARIOS PERMANENTES</v>
      </c>
      <c r="K414" s="98" t="str">
        <f t="shared" si="10"/>
        <v>Posgrado</v>
      </c>
      <c r="L414" s="98" t="s">
        <v>394</v>
      </c>
    </row>
    <row r="415" spans="3:12" x14ac:dyDescent="0.25">
      <c r="C415" s="171" t="s">
        <v>58</v>
      </c>
      <c r="D415" s="163"/>
      <c r="E415" s="154">
        <v>0</v>
      </c>
      <c r="F415" s="100">
        <f>IF(E414=0,"",(G414/E414)/12*E414)</f>
        <v>0</v>
      </c>
      <c r="G415" s="97">
        <f>F415</f>
        <v>0</v>
      </c>
      <c r="H415" s="164"/>
      <c r="I415" s="116" t="s">
        <v>515</v>
      </c>
      <c r="J415" s="116" t="str">
        <f>VLOOKUP(I415,Presupuesto!$B$11:$C$565,2,0)</f>
        <v>AGUINALDO Y DECIMO CUARTO MES</v>
      </c>
      <c r="K415" s="98" t="str">
        <f t="shared" si="10"/>
        <v>Posgrado</v>
      </c>
      <c r="L415" s="98" t="s">
        <v>394</v>
      </c>
    </row>
    <row r="416" spans="3:12" ht="15.75" thickBot="1" x14ac:dyDescent="0.3">
      <c r="C416" s="172" t="s">
        <v>59</v>
      </c>
      <c r="D416" s="163"/>
      <c r="E416" s="154">
        <v>0</v>
      </c>
      <c r="F416" s="117">
        <f>IF(E414&lt;6,"",((E414-6)/12)*(G414/E414))</f>
        <v>0</v>
      </c>
      <c r="G416" s="97">
        <f>F416</f>
        <v>0</v>
      </c>
      <c r="H416" s="164"/>
      <c r="I416" s="101" t="s">
        <v>518</v>
      </c>
      <c r="J416" s="101" t="str">
        <f>VLOOKUP(I416,Presupuesto!$B$11:$C$565,2,0)</f>
        <v>DECIMOCUARTO MES</v>
      </c>
      <c r="K416" s="98" t="str">
        <f t="shared" si="10"/>
        <v>Posgrado</v>
      </c>
      <c r="L416" s="98" t="s">
        <v>394</v>
      </c>
    </row>
    <row r="417" spans="3:12" ht="15.75" thickBot="1" x14ac:dyDescent="0.3">
      <c r="C417" s="137" t="s">
        <v>491</v>
      </c>
      <c r="D417" s="199"/>
      <c r="E417" s="152">
        <v>12</v>
      </c>
      <c r="F417" s="303">
        <f>HLOOKUP($C417,$BZ$2:$CM$3,2,0)</f>
        <v>13238.9</v>
      </c>
      <c r="G417" s="113">
        <f>D417*E417*F417</f>
        <v>0</v>
      </c>
      <c r="H417" s="166"/>
      <c r="I417" s="114" t="s">
        <v>495</v>
      </c>
      <c r="J417" s="114" t="str">
        <f>VLOOKUP(I417,Presupuesto!$B$11:$C$565,2,0)</f>
        <v>SUELDOS Y SALARIOS PERMANENTES</v>
      </c>
      <c r="K417" s="98" t="str">
        <f t="shared" si="10"/>
        <v>Posgrado</v>
      </c>
      <c r="L417" s="98" t="s">
        <v>394</v>
      </c>
    </row>
    <row r="418" spans="3:12" x14ac:dyDescent="0.25">
      <c r="C418" s="171" t="s">
        <v>58</v>
      </c>
      <c r="D418" s="163"/>
      <c r="E418" s="154">
        <v>0</v>
      </c>
      <c r="F418" s="100">
        <f>IF(E417=0,"",(G417/E417)/12*E417)</f>
        <v>0</v>
      </c>
      <c r="G418" s="97">
        <f>F418</f>
        <v>0</v>
      </c>
      <c r="H418" s="164"/>
      <c r="I418" s="116" t="s">
        <v>515</v>
      </c>
      <c r="J418" s="116" t="str">
        <f>VLOOKUP(I418,Presupuesto!$B$11:$C$565,2,0)</f>
        <v>AGUINALDO Y DECIMO CUARTO MES</v>
      </c>
      <c r="K418" s="98" t="str">
        <f t="shared" si="10"/>
        <v>Posgrado</v>
      </c>
      <c r="L418" s="98" t="s">
        <v>394</v>
      </c>
    </row>
    <row r="419" spans="3:12" ht="15.75" thickBot="1" x14ac:dyDescent="0.3">
      <c r="C419" s="172" t="s">
        <v>59</v>
      </c>
      <c r="D419" s="163"/>
      <c r="E419" s="154">
        <v>0</v>
      </c>
      <c r="F419" s="117">
        <f>IF(E417&lt;6,"",((E417-6)/12)*(G417/E417))</f>
        <v>0</v>
      </c>
      <c r="G419" s="97">
        <f>F419</f>
        <v>0</v>
      </c>
      <c r="H419" s="164"/>
      <c r="I419" s="101" t="s">
        <v>518</v>
      </c>
      <c r="J419" s="101" t="str">
        <f>VLOOKUP(I419,Presupuesto!$B$11:$C$565,2,0)</f>
        <v>DECIMOCUARTO MES</v>
      </c>
      <c r="K419" s="98" t="str">
        <f t="shared" si="10"/>
        <v>Posgrado</v>
      </c>
      <c r="L419" s="98" t="s">
        <v>394</v>
      </c>
    </row>
    <row r="420" spans="3:12" ht="15.75" thickBot="1" x14ac:dyDescent="0.3">
      <c r="C420" s="137" t="s">
        <v>492</v>
      </c>
      <c r="D420" s="199"/>
      <c r="E420" s="152">
        <v>12</v>
      </c>
      <c r="F420" s="303">
        <f>HLOOKUP($C420,$BZ$2:$CM$3,2,0)</f>
        <v>12356.31</v>
      </c>
      <c r="G420" s="113">
        <f>D420*E420*F420</f>
        <v>0</v>
      </c>
      <c r="H420" s="166"/>
      <c r="I420" s="114" t="s">
        <v>495</v>
      </c>
      <c r="J420" s="114" t="str">
        <f>VLOOKUP(I420,Presupuesto!$B$11:$C$565,2,0)</f>
        <v>SUELDOS Y SALARIOS PERMANENTES</v>
      </c>
      <c r="K420" s="98" t="str">
        <f t="shared" ref="K420:K437" si="11">$K$387</f>
        <v>Posgrado</v>
      </c>
      <c r="L420" s="98" t="s">
        <v>394</v>
      </c>
    </row>
    <row r="421" spans="3:12" x14ac:dyDescent="0.25">
      <c r="C421" s="171" t="s">
        <v>58</v>
      </c>
      <c r="D421" s="163"/>
      <c r="E421" s="154">
        <v>0</v>
      </c>
      <c r="F421" s="100">
        <f>IF(E420=0,"",(G420/E420)/12*E420)</f>
        <v>0</v>
      </c>
      <c r="G421" s="97">
        <f>F421</f>
        <v>0</v>
      </c>
      <c r="H421" s="164"/>
      <c r="I421" s="116" t="s">
        <v>515</v>
      </c>
      <c r="J421" s="116" t="str">
        <f>VLOOKUP(I421,Presupuesto!$B$11:$C$565,2,0)</f>
        <v>AGUINALDO Y DECIMO CUARTO MES</v>
      </c>
      <c r="K421" s="98" t="str">
        <f t="shared" si="11"/>
        <v>Posgrado</v>
      </c>
      <c r="L421" s="98" t="s">
        <v>394</v>
      </c>
    </row>
    <row r="422" spans="3:12" ht="15.75" thickBot="1" x14ac:dyDescent="0.3">
      <c r="C422" s="172" t="s">
        <v>59</v>
      </c>
      <c r="D422" s="163"/>
      <c r="E422" s="154">
        <v>0</v>
      </c>
      <c r="F422" s="117">
        <f>IF(E420&lt;6,"",((E420-6)/12)*(G420/E420))</f>
        <v>0</v>
      </c>
      <c r="G422" s="97">
        <f>F422</f>
        <v>0</v>
      </c>
      <c r="H422" s="164"/>
      <c r="I422" s="101" t="s">
        <v>518</v>
      </c>
      <c r="J422" s="101" t="str">
        <f>VLOOKUP(I422,Presupuesto!$B$11:$C$565,2,0)</f>
        <v>DECIMOCUARTO MES</v>
      </c>
      <c r="K422" s="98" t="str">
        <f t="shared" si="11"/>
        <v>Posgrado</v>
      </c>
      <c r="L422" s="98" t="s">
        <v>394</v>
      </c>
    </row>
    <row r="423" spans="3:12" ht="15.75" thickBot="1" x14ac:dyDescent="0.3">
      <c r="C423" s="137" t="s">
        <v>493</v>
      </c>
      <c r="D423" s="199"/>
      <c r="E423" s="152">
        <v>12</v>
      </c>
      <c r="F423" s="303">
        <f>HLOOKUP($C423,$BZ$2:$CM$3,2,0)</f>
        <v>463.22</v>
      </c>
      <c r="G423" s="113">
        <f>D423*E423*F423</f>
        <v>0</v>
      </c>
      <c r="H423" s="166"/>
      <c r="I423" s="114" t="s">
        <v>495</v>
      </c>
      <c r="J423" s="114" t="str">
        <f>VLOOKUP(I423,Presupuesto!$B$11:$C$565,2,0)</f>
        <v>SUELDOS Y SALARIOS PERMANENTES</v>
      </c>
      <c r="K423" s="98" t="str">
        <f t="shared" si="11"/>
        <v>Posgrado</v>
      </c>
      <c r="L423" s="98" t="s">
        <v>394</v>
      </c>
    </row>
    <row r="424" spans="3:12" x14ac:dyDescent="0.25">
      <c r="C424" s="171" t="s">
        <v>58</v>
      </c>
      <c r="D424" s="163"/>
      <c r="E424" s="154">
        <v>0</v>
      </c>
      <c r="F424" s="100">
        <f>IF(E423=0,"",(G423/E423)/12*E423)</f>
        <v>0</v>
      </c>
      <c r="G424" s="97">
        <f>F424</f>
        <v>0</v>
      </c>
      <c r="H424" s="164"/>
      <c r="I424" s="116" t="s">
        <v>515</v>
      </c>
      <c r="J424" s="116" t="str">
        <f>VLOOKUP(I424,Presupuesto!$B$11:$C$565,2,0)</f>
        <v>AGUINALDO Y DECIMO CUARTO MES</v>
      </c>
      <c r="K424" s="98" t="str">
        <f t="shared" si="11"/>
        <v>Posgrado</v>
      </c>
      <c r="L424" s="98" t="s">
        <v>394</v>
      </c>
    </row>
    <row r="425" spans="3:12" ht="15.75" thickBot="1" x14ac:dyDescent="0.3">
      <c r="C425" s="172" t="s">
        <v>59</v>
      </c>
      <c r="D425" s="163"/>
      <c r="E425" s="154">
        <v>0</v>
      </c>
      <c r="F425" s="117">
        <f>IF(E423&lt;6,"",((E423-6)/12)*(G423/E423))</f>
        <v>0</v>
      </c>
      <c r="G425" s="97">
        <f>F425</f>
        <v>0</v>
      </c>
      <c r="H425" s="164"/>
      <c r="I425" s="101" t="s">
        <v>518</v>
      </c>
      <c r="J425" s="101" t="str">
        <f>VLOOKUP(I425,Presupuesto!$B$11:$C$565,2,0)</f>
        <v>DECIMOCUARTO MES</v>
      </c>
      <c r="K425" s="98" t="str">
        <f t="shared" si="11"/>
        <v>Posgrado</v>
      </c>
      <c r="L425" s="98" t="s">
        <v>394</v>
      </c>
    </row>
    <row r="426" spans="3:12" ht="15.75" thickBot="1" x14ac:dyDescent="0.3">
      <c r="C426" s="137" t="s">
        <v>494</v>
      </c>
      <c r="D426" s="199"/>
      <c r="E426" s="152">
        <v>12</v>
      </c>
      <c r="F426" s="303">
        <f>HLOOKUP($C426,$BZ$2:$CM$3,2,0)</f>
        <v>2007.3</v>
      </c>
      <c r="G426" s="113">
        <f>D426*E426*F426</f>
        <v>0</v>
      </c>
      <c r="H426" s="166"/>
      <c r="I426" s="114" t="s">
        <v>495</v>
      </c>
      <c r="J426" s="114" t="str">
        <f>VLOOKUP(I426,Presupuesto!$B$11:$C$565,2,0)</f>
        <v>SUELDOS Y SALARIOS PERMANENTES</v>
      </c>
      <c r="K426" s="98" t="str">
        <f t="shared" si="11"/>
        <v>Posgrado</v>
      </c>
      <c r="L426" s="98" t="s">
        <v>394</v>
      </c>
    </row>
    <row r="427" spans="3:12" x14ac:dyDescent="0.25">
      <c r="C427" s="171" t="s">
        <v>58</v>
      </c>
      <c r="D427" s="163"/>
      <c r="E427" s="154">
        <v>0</v>
      </c>
      <c r="F427" s="100">
        <f>IF(E426=0,"",(G426/E426)/12*E426)</f>
        <v>0</v>
      </c>
      <c r="G427" s="97">
        <f>F427</f>
        <v>0</v>
      </c>
      <c r="H427" s="164"/>
      <c r="I427" s="116" t="s">
        <v>515</v>
      </c>
      <c r="J427" s="116" t="str">
        <f>VLOOKUP(I427,Presupuesto!$B$11:$C$565,2,0)</f>
        <v>AGUINALDO Y DECIMO CUARTO MES</v>
      </c>
      <c r="K427" s="98" t="str">
        <f t="shared" si="11"/>
        <v>Posgrado</v>
      </c>
      <c r="L427" s="98" t="s">
        <v>394</v>
      </c>
    </row>
    <row r="428" spans="3:12" ht="15.75" thickBot="1" x14ac:dyDescent="0.3">
      <c r="C428" s="172" t="s">
        <v>59</v>
      </c>
      <c r="D428" s="163"/>
      <c r="E428" s="154">
        <v>0</v>
      </c>
      <c r="F428" s="117">
        <f>IF(E426&lt;6,"",((E426-6)/12)*(G426/E426))</f>
        <v>0</v>
      </c>
      <c r="G428" s="97">
        <f>F428</f>
        <v>0</v>
      </c>
      <c r="H428" s="164"/>
      <c r="I428" s="101" t="s">
        <v>518</v>
      </c>
      <c r="J428" s="101" t="str">
        <f>VLOOKUP(I428,Presupuesto!$B$11:$C$565,2,0)</f>
        <v>DECIMOCUARTO MES</v>
      </c>
      <c r="K428" s="98" t="str">
        <f t="shared" si="11"/>
        <v>Posgrado</v>
      </c>
      <c r="L428" s="98" t="s">
        <v>394</v>
      </c>
    </row>
    <row r="429" spans="3:12" ht="15.75" thickBot="1" x14ac:dyDescent="0.3">
      <c r="C429" s="140" t="s">
        <v>83</v>
      </c>
      <c r="D429" s="199"/>
      <c r="E429" s="152">
        <v>12</v>
      </c>
      <c r="F429" s="139">
        <v>30000</v>
      </c>
      <c r="G429" s="113">
        <f>D429*E429*F429</f>
        <v>0</v>
      </c>
      <c r="H429" s="166"/>
      <c r="I429" s="114" t="s">
        <v>563</v>
      </c>
      <c r="J429" s="114" t="str">
        <f>VLOOKUP(I429,Presupuesto!$B$11:$C$565,2,0)</f>
        <v>CONTRATOS ESPECIALES</v>
      </c>
      <c r="K429" s="98" t="str">
        <f t="shared" si="11"/>
        <v>Posgrado</v>
      </c>
      <c r="L429" s="98" t="s">
        <v>394</v>
      </c>
    </row>
    <row r="430" spans="3:12" x14ac:dyDescent="0.25">
      <c r="C430" s="171" t="s">
        <v>58</v>
      </c>
      <c r="D430" s="163"/>
      <c r="E430" s="154">
        <v>0</v>
      </c>
      <c r="F430" s="117">
        <f>IF(E429=0,"",(G429/E429)/12*E429)</f>
        <v>0</v>
      </c>
      <c r="G430" s="97">
        <f>F430</f>
        <v>0</v>
      </c>
      <c r="H430" s="164"/>
      <c r="I430" s="101" t="s">
        <v>563</v>
      </c>
      <c r="J430" s="101" t="str">
        <f>VLOOKUP(I430,Presupuesto!$B$11:$C$565,2,0)</f>
        <v>CONTRATOS ESPECIALES</v>
      </c>
      <c r="K430" s="98" t="str">
        <f t="shared" si="11"/>
        <v>Posgrado</v>
      </c>
      <c r="L430" s="98" t="s">
        <v>393</v>
      </c>
    </row>
    <row r="431" spans="3:12" ht="15.75" thickBot="1" x14ac:dyDescent="0.3">
      <c r="C431" s="172" t="s">
        <v>59</v>
      </c>
      <c r="D431" s="163"/>
      <c r="E431" s="154">
        <v>0</v>
      </c>
      <c r="F431" s="100">
        <f>IF(E429&lt;6,"",((E429-6)/12)*(G429/E429))</f>
        <v>0</v>
      </c>
      <c r="G431" s="97">
        <f>F431</f>
        <v>0</v>
      </c>
      <c r="H431" s="164"/>
      <c r="I431" s="101" t="s">
        <v>563</v>
      </c>
      <c r="J431" s="101" t="str">
        <f>VLOOKUP(I431,Presupuesto!$B$11:$C$565,2,0)</f>
        <v>CONTRATOS ESPECIALES</v>
      </c>
      <c r="K431" s="98" t="str">
        <f t="shared" si="11"/>
        <v>Posgrado</v>
      </c>
      <c r="L431" s="98" t="s">
        <v>398</v>
      </c>
    </row>
    <row r="432" spans="3:12" ht="15.75" thickBot="1" x14ac:dyDescent="0.3">
      <c r="C432" s="140" t="s">
        <v>60</v>
      </c>
      <c r="D432" s="199"/>
      <c r="E432" s="152">
        <v>12</v>
      </c>
      <c r="F432" s="118">
        <v>30000</v>
      </c>
      <c r="G432" s="113">
        <f>D432*E432*F432</f>
        <v>0</v>
      </c>
      <c r="H432" s="166"/>
      <c r="I432" s="114" t="s">
        <v>704</v>
      </c>
      <c r="J432" s="114" t="str">
        <f>VLOOKUP(I432,Presupuesto!$B$11:$C$565,2,0)</f>
        <v>OTROS SERVICIOS TECNICOS Y PROFESIONALES</v>
      </c>
      <c r="K432" s="98" t="str">
        <f t="shared" si="11"/>
        <v>Posgrado</v>
      </c>
      <c r="L432" s="98" t="s">
        <v>393</v>
      </c>
    </row>
    <row r="433" spans="3:12" x14ac:dyDescent="0.25">
      <c r="C433" s="171" t="s">
        <v>58</v>
      </c>
      <c r="D433" s="163"/>
      <c r="E433" s="154">
        <v>0</v>
      </c>
      <c r="F433" s="100">
        <v>0</v>
      </c>
      <c r="G433" s="97">
        <f>F433</f>
        <v>0</v>
      </c>
      <c r="H433" s="164"/>
      <c r="I433" s="101" t="s">
        <v>704</v>
      </c>
      <c r="J433" s="101" t="str">
        <f>VLOOKUP(I433,Presupuesto!$B$11:$C$565,2,0)</f>
        <v>OTROS SERVICIOS TECNICOS Y PROFESIONALES</v>
      </c>
      <c r="K433" s="98" t="str">
        <f t="shared" si="11"/>
        <v>Posgrado</v>
      </c>
      <c r="L433" s="98" t="s">
        <v>393</v>
      </c>
    </row>
    <row r="434" spans="3:12" ht="15.75" thickBot="1" x14ac:dyDescent="0.3">
      <c r="C434" s="172" t="s">
        <v>59</v>
      </c>
      <c r="D434" s="163"/>
      <c r="E434" s="154">
        <v>0</v>
      </c>
      <c r="F434" s="100">
        <v>0</v>
      </c>
      <c r="G434" s="97">
        <f>F434</f>
        <v>0</v>
      </c>
      <c r="H434" s="164"/>
      <c r="I434" s="101" t="s">
        <v>704</v>
      </c>
      <c r="J434" s="101" t="str">
        <f>VLOOKUP(I434,Presupuesto!$B$11:$C$565,2,0)</f>
        <v>OTROS SERVICIOS TECNICOS Y PROFESIONALES</v>
      </c>
      <c r="K434" s="98" t="str">
        <f t="shared" si="11"/>
        <v>Posgrado</v>
      </c>
      <c r="L434" s="98" t="s">
        <v>393</v>
      </c>
    </row>
    <row r="435" spans="3:12" ht="15.75" thickBot="1" x14ac:dyDescent="0.3">
      <c r="C435" s="140" t="s">
        <v>61</v>
      </c>
      <c r="D435" s="199"/>
      <c r="E435" s="152">
        <v>12</v>
      </c>
      <c r="F435" s="118">
        <v>30000</v>
      </c>
      <c r="G435" s="113">
        <f>D435*E435*F435</f>
        <v>0</v>
      </c>
      <c r="H435" s="166"/>
      <c r="I435" s="114" t="s">
        <v>495</v>
      </c>
      <c r="J435" s="114" t="str">
        <f>VLOOKUP(I435,Presupuesto!$B$11:$C$565,2,0)</f>
        <v>SUELDOS Y SALARIOS PERMANENTES</v>
      </c>
      <c r="K435" s="98" t="str">
        <f t="shared" si="11"/>
        <v>Posgrado</v>
      </c>
      <c r="L435" s="98" t="s">
        <v>393</v>
      </c>
    </row>
    <row r="436" spans="3:12" x14ac:dyDescent="0.25">
      <c r="C436" s="171" t="s">
        <v>58</v>
      </c>
      <c r="D436" s="169"/>
      <c r="E436" s="131">
        <v>0</v>
      </c>
      <c r="F436" s="119">
        <f>IF(E435=0,"",(G435/E435)/12*E435)</f>
        <v>0</v>
      </c>
      <c r="G436" s="120">
        <f>F436</f>
        <v>0</v>
      </c>
      <c r="H436" s="164"/>
      <c r="I436" s="101" t="s">
        <v>515</v>
      </c>
      <c r="J436" s="101" t="str">
        <f>VLOOKUP(I436,Presupuesto!$B$11:$C$565,2,0)</f>
        <v>AGUINALDO Y DECIMO CUARTO MES</v>
      </c>
      <c r="K436" s="98" t="str">
        <f t="shared" si="11"/>
        <v>Posgrado</v>
      </c>
      <c r="L436" s="98" t="s">
        <v>393</v>
      </c>
    </row>
    <row r="437" spans="3:12" ht="15.75" thickBot="1" x14ac:dyDescent="0.3">
      <c r="C437" s="173" t="s">
        <v>59</v>
      </c>
      <c r="D437" s="162"/>
      <c r="E437" s="132">
        <v>0</v>
      </c>
      <c r="F437" s="105">
        <f>IF(E435&lt;6,"",((E435-6)/12)*(G435/E435))</f>
        <v>0</v>
      </c>
      <c r="G437" s="105">
        <f>F437</f>
        <v>0</v>
      </c>
      <c r="H437" s="162"/>
      <c r="I437" s="106" t="s">
        <v>518</v>
      </c>
      <c r="J437" s="124" t="str">
        <f>VLOOKUP(I437,Presupuesto!$B$11:$C$565,2,0)</f>
        <v>DECIMOCUARTO MES</v>
      </c>
      <c r="K437" s="106" t="str">
        <f t="shared" si="11"/>
        <v>Posgrado</v>
      </c>
      <c r="L437" s="124" t="s">
        <v>393</v>
      </c>
    </row>
    <row r="439" spans="3:12" ht="15.75" thickBot="1" x14ac:dyDescent="0.3">
      <c r="K439" s="153"/>
    </row>
    <row r="440" spans="3:12" ht="15.75" thickBot="1" x14ac:dyDescent="0.3">
      <c r="C440" s="69" t="s">
        <v>43</v>
      </c>
      <c r="D440" s="30">
        <f>SUM(G447:G497)</f>
        <v>0</v>
      </c>
      <c r="E440" s="93"/>
      <c r="F440" s="93"/>
      <c r="G440" s="93"/>
      <c r="H440" s="76"/>
      <c r="I440" s="76"/>
      <c r="J440" s="76"/>
      <c r="K440" s="153"/>
    </row>
    <row r="441" spans="3:12" x14ac:dyDescent="0.25">
      <c r="D441" s="31"/>
      <c r="E441" s="93"/>
      <c r="F441" s="93"/>
      <c r="G441" s="93"/>
      <c r="H441" s="76"/>
      <c r="I441" s="76"/>
      <c r="J441" s="76"/>
      <c r="K441" s="153"/>
    </row>
    <row r="442" spans="3:12" x14ac:dyDescent="0.25">
      <c r="D442" s="31"/>
      <c r="E442" s="93"/>
      <c r="F442" s="93"/>
      <c r="G442" s="93"/>
      <c r="H442" s="76"/>
      <c r="I442" s="76"/>
      <c r="J442" s="76"/>
      <c r="K442" s="153"/>
    </row>
    <row r="443" spans="3:12" ht="15.75" x14ac:dyDescent="0.25">
      <c r="C443" s="202" t="s">
        <v>391</v>
      </c>
      <c r="D443" s="368"/>
      <c r="E443" s="93"/>
      <c r="F443" s="93"/>
      <c r="G443" s="93"/>
      <c r="H443" s="76"/>
      <c r="I443" s="76"/>
      <c r="J443" s="76"/>
      <c r="K443" s="153"/>
    </row>
    <row r="444" spans="3:12" ht="18.75" x14ac:dyDescent="0.25">
      <c r="C444" s="210" t="e">
        <f>IFERROR(VLOOKUP(D443,'1. Desarrollo e Innov. Curricu.'!$F:$G,2,FALSE),IFERROR(VLOOKUP(D443,'2. Investigación Científica'!$F:$G,2,FALSE),IFERROR(VLOOKUP(D443,'3. Vinculación Univ. Sociedad'!$F:$G,2,FALSE),IFERROR(VLOOKUP(D443,'4. Docencia y Profesorado Univ.'!$F:$G,2,FALSE),IFERROR(VLOOKUP(D443,'5. Estudiantes y Graduados'!$F:$G,2,FALSE),IFERROR(VLOOKUP(D443,'11. Gestion Administrativa'!$F:$G,2,FALSE),IFERROR(VLOOKUP(D443,'13. Gestión Académica'!$F:$G,2,FALSE),IFERROR(VLOOKUP(D443,'9. Asegura. de la Calid. y M'!$F:$G,2,FALSE),IFERROR(VLOOKUP(D443,'6. Gestión del Conocimiento'!$F:$G,2,FALSE),IFERROR(VLOOKUP(D443,'15. Gobernabilidad y Proceso...'!$F:$G,2,FALSE),IFERROR(VLOOKUP(D443,'12. Gestión del Talento Humano'!$F:$G,2,FALSE),IFERROR(VLOOKUP(D443,'14. Internacional... de la E.S.'!$F:$G,2,FALSE),IFERROR(VLOOKUP(D443,'10. Posgrado'!$F:$G,2,FALSE),IFERROR(VLOOKUP(D443,'17. Gestión TIC'!$F:$G,2,FALSE),IFERROR(VLOOKUP(D443,'16. Desa. del Sistema Educ.Sup.'!$F:$G,2,FALSE),IFERROR(VLOOKUP(D443,'8. Cultura de Inno. Insti...'!$F:$G,2,FALSE),VLOOKUP(D443,'7. Lo Esencial de la Reforma U.'!$F:$G,2,0)))))))))))))))))</f>
        <v>#N/A</v>
      </c>
      <c r="D444" s="31"/>
      <c r="E444" s="93"/>
      <c r="F444" s="93"/>
      <c r="G444" s="93"/>
      <c r="H444" s="76"/>
      <c r="I444" s="76"/>
      <c r="J444" s="76"/>
      <c r="K444" s="153"/>
    </row>
    <row r="445" spans="3:12" ht="15.75" thickBot="1" x14ac:dyDescent="0.3">
      <c r="C445" s="177"/>
      <c r="D445" s="31"/>
      <c r="E445" s="93"/>
      <c r="F445" s="93"/>
      <c r="G445" s="93"/>
      <c r="H445" s="76"/>
      <c r="I445" s="76"/>
      <c r="J445" s="76"/>
      <c r="K445" s="153"/>
    </row>
    <row r="446" spans="3:12" ht="30.75" thickBot="1" x14ac:dyDescent="0.3">
      <c r="C446" s="134" t="s">
        <v>44</v>
      </c>
      <c r="D446" s="138" t="s">
        <v>55</v>
      </c>
      <c r="E446" s="170" t="s">
        <v>56</v>
      </c>
      <c r="F446" s="138" t="s">
        <v>57</v>
      </c>
      <c r="G446" s="135" t="s">
        <v>27</v>
      </c>
      <c r="H446" s="133" t="s">
        <v>130</v>
      </c>
      <c r="I446" s="136" t="s">
        <v>46</v>
      </c>
      <c r="J446" s="136" t="s">
        <v>131</v>
      </c>
      <c r="K446" s="136" t="s">
        <v>409</v>
      </c>
      <c r="L446" s="136" t="s">
        <v>410</v>
      </c>
    </row>
    <row r="447" spans="3:12" ht="15.75" thickBot="1" x14ac:dyDescent="0.3">
      <c r="C447" s="137" t="s">
        <v>481</v>
      </c>
      <c r="D447" s="199"/>
      <c r="E447" s="152">
        <v>12</v>
      </c>
      <c r="F447" s="303">
        <f>HLOOKUP($C447,$BZ$2:$CM$3,2,0)</f>
        <v>43674.39</v>
      </c>
      <c r="G447" s="113">
        <f>D447*E447*F447</f>
        <v>0</v>
      </c>
      <c r="H447" s="166"/>
      <c r="I447" s="114" t="s">
        <v>495</v>
      </c>
      <c r="J447" s="114" t="str">
        <f>VLOOKUP(I447,Presupuesto!$B$11:$C$565,2,0)</f>
        <v>SUELDOS Y SALARIOS PERMANENTES</v>
      </c>
      <c r="K447" s="218" t="s">
        <v>1449</v>
      </c>
      <c r="L447" s="98" t="s">
        <v>393</v>
      </c>
    </row>
    <row r="448" spans="3:12" x14ac:dyDescent="0.25">
      <c r="C448" s="171" t="s">
        <v>58</v>
      </c>
      <c r="D448" s="163"/>
      <c r="E448" s="154">
        <v>0</v>
      </c>
      <c r="F448" s="100">
        <f>IF(E447=0,"",(G447/E447)/12*E447)</f>
        <v>0</v>
      </c>
      <c r="G448" s="97">
        <f>F448</f>
        <v>0</v>
      </c>
      <c r="H448" s="164"/>
      <c r="I448" s="116" t="s">
        <v>515</v>
      </c>
      <c r="J448" s="116" t="str">
        <f>VLOOKUP(I448,Presupuesto!$B$11:$C$565,2,0)</f>
        <v>AGUINALDO Y DECIMO CUARTO MES</v>
      </c>
      <c r="K448" s="98" t="str">
        <f t="shared" ref="K448:K479" si="12">$K$447</f>
        <v>Posgrado</v>
      </c>
      <c r="L448" s="98" t="s">
        <v>411</v>
      </c>
    </row>
    <row r="449" spans="3:12" ht="15.75" thickBot="1" x14ac:dyDescent="0.3">
      <c r="C449" s="172" t="s">
        <v>59</v>
      </c>
      <c r="D449" s="163"/>
      <c r="E449" s="154">
        <v>0</v>
      </c>
      <c r="F449" s="117">
        <f>IF(E447&lt;6,"",((E447-6)/12)*(G447/E447))</f>
        <v>0</v>
      </c>
      <c r="G449" s="97">
        <f>F449</f>
        <v>0</v>
      </c>
      <c r="H449" s="164"/>
      <c r="I449" s="101" t="s">
        <v>518</v>
      </c>
      <c r="J449" s="101" t="str">
        <f>VLOOKUP(I449,Presupuesto!$B$11:$C$565,2,0)</f>
        <v>DECIMOCUARTO MES</v>
      </c>
      <c r="K449" s="98" t="str">
        <f t="shared" si="12"/>
        <v>Posgrado</v>
      </c>
      <c r="L449" s="98" t="s">
        <v>394</v>
      </c>
    </row>
    <row r="450" spans="3:12" ht="15.75" thickBot="1" x14ac:dyDescent="0.3">
      <c r="C450" s="137" t="s">
        <v>482</v>
      </c>
      <c r="D450" s="199"/>
      <c r="E450" s="152">
        <v>12</v>
      </c>
      <c r="F450" s="303">
        <f>HLOOKUP($C450,$BZ$2:$CM$3,2,0)</f>
        <v>39703.99</v>
      </c>
      <c r="G450" s="113">
        <f>D450*E450*F450</f>
        <v>0</v>
      </c>
      <c r="H450" s="166"/>
      <c r="I450" s="114" t="s">
        <v>495</v>
      </c>
      <c r="J450" s="114" t="str">
        <f>VLOOKUP(I450,Presupuesto!$B$11:$C$565,2,0)</f>
        <v>SUELDOS Y SALARIOS PERMANENTES</v>
      </c>
      <c r="K450" s="98" t="str">
        <f t="shared" si="12"/>
        <v>Posgrado</v>
      </c>
      <c r="L450" s="98" t="s">
        <v>394</v>
      </c>
    </row>
    <row r="451" spans="3:12" x14ac:dyDescent="0.25">
      <c r="C451" s="171" t="s">
        <v>58</v>
      </c>
      <c r="D451" s="163"/>
      <c r="E451" s="154">
        <v>0</v>
      </c>
      <c r="F451" s="100">
        <f>IF(E450=0,"",(G450/E450)/12*E450)</f>
        <v>0</v>
      </c>
      <c r="G451" s="97">
        <f>F451</f>
        <v>0</v>
      </c>
      <c r="H451" s="164"/>
      <c r="I451" s="116" t="s">
        <v>515</v>
      </c>
      <c r="J451" s="116" t="str">
        <f>VLOOKUP(I451,Presupuesto!$B$11:$C$565,2,0)</f>
        <v>AGUINALDO Y DECIMO CUARTO MES</v>
      </c>
      <c r="K451" s="98" t="str">
        <f t="shared" si="12"/>
        <v>Posgrado</v>
      </c>
      <c r="L451" s="98" t="s">
        <v>394</v>
      </c>
    </row>
    <row r="452" spans="3:12" ht="15.75" thickBot="1" x14ac:dyDescent="0.3">
      <c r="C452" s="172" t="s">
        <v>59</v>
      </c>
      <c r="D452" s="163"/>
      <c r="E452" s="154">
        <v>0</v>
      </c>
      <c r="F452" s="117">
        <f>IF(E450&lt;6,"",((E450-6)/12)*(G450/E450))</f>
        <v>0</v>
      </c>
      <c r="G452" s="97">
        <f>F452</f>
        <v>0</v>
      </c>
      <c r="H452" s="164"/>
      <c r="I452" s="101" t="s">
        <v>518</v>
      </c>
      <c r="J452" s="101" t="str">
        <f>VLOOKUP(I452,Presupuesto!$B$11:$C$565,2,0)</f>
        <v>DECIMOCUARTO MES</v>
      </c>
      <c r="K452" s="98" t="str">
        <f t="shared" si="12"/>
        <v>Posgrado</v>
      </c>
      <c r="L452" s="98" t="s">
        <v>394</v>
      </c>
    </row>
    <row r="453" spans="3:12" ht="15.75" thickBot="1" x14ac:dyDescent="0.3">
      <c r="C453" s="137" t="s">
        <v>483</v>
      </c>
      <c r="D453" s="199"/>
      <c r="E453" s="152">
        <v>12</v>
      </c>
      <c r="F453" s="303">
        <f>HLOOKUP($C453,$BZ$2:$CM$3,2,0)</f>
        <v>35733.589999999997</v>
      </c>
      <c r="G453" s="113">
        <f>D453*E453*F453</f>
        <v>0</v>
      </c>
      <c r="H453" s="166"/>
      <c r="I453" s="114" t="s">
        <v>495</v>
      </c>
      <c r="J453" s="114" t="str">
        <f>VLOOKUP(I453,Presupuesto!$B$11:$C$565,2,0)</f>
        <v>SUELDOS Y SALARIOS PERMANENTES</v>
      </c>
      <c r="K453" s="98" t="str">
        <f t="shared" si="12"/>
        <v>Posgrado</v>
      </c>
      <c r="L453" s="98" t="s">
        <v>394</v>
      </c>
    </row>
    <row r="454" spans="3:12" x14ac:dyDescent="0.25">
      <c r="C454" s="171" t="s">
        <v>58</v>
      </c>
      <c r="D454" s="163"/>
      <c r="E454" s="154">
        <v>0</v>
      </c>
      <c r="F454" s="100">
        <f>IF(E453=0,"",(G453/E453)/12*E453)</f>
        <v>0</v>
      </c>
      <c r="G454" s="97">
        <f>F454</f>
        <v>0</v>
      </c>
      <c r="H454" s="164"/>
      <c r="I454" s="116" t="s">
        <v>515</v>
      </c>
      <c r="J454" s="116" t="str">
        <f>VLOOKUP(I454,Presupuesto!$B$11:$C$565,2,0)</f>
        <v>AGUINALDO Y DECIMO CUARTO MES</v>
      </c>
      <c r="K454" s="98" t="str">
        <f t="shared" si="12"/>
        <v>Posgrado</v>
      </c>
      <c r="L454" s="98" t="s">
        <v>394</v>
      </c>
    </row>
    <row r="455" spans="3:12" ht="15.75" thickBot="1" x14ac:dyDescent="0.3">
      <c r="C455" s="172" t="s">
        <v>59</v>
      </c>
      <c r="D455" s="163"/>
      <c r="E455" s="154">
        <v>0</v>
      </c>
      <c r="F455" s="117">
        <f>IF(E453&lt;6,"",((E453-6)/12)*(G453/E453))</f>
        <v>0</v>
      </c>
      <c r="G455" s="97">
        <f>F455</f>
        <v>0</v>
      </c>
      <c r="H455" s="164"/>
      <c r="I455" s="101" t="s">
        <v>518</v>
      </c>
      <c r="J455" s="101" t="str">
        <f>VLOOKUP(I455,Presupuesto!$B$11:$C$565,2,0)</f>
        <v>DECIMOCUARTO MES</v>
      </c>
      <c r="K455" s="98" t="str">
        <f t="shared" si="12"/>
        <v>Posgrado</v>
      </c>
      <c r="L455" s="98" t="s">
        <v>394</v>
      </c>
    </row>
    <row r="456" spans="3:12" ht="15.75" thickBot="1" x14ac:dyDescent="0.3">
      <c r="C456" s="137" t="s">
        <v>484</v>
      </c>
      <c r="D456" s="199"/>
      <c r="E456" s="152">
        <v>12</v>
      </c>
      <c r="F456" s="303">
        <f>HLOOKUP($C456,$BZ$2:$CM$3,2,0)</f>
        <v>31763.19</v>
      </c>
      <c r="G456" s="113">
        <f>D456*E456*F456</f>
        <v>0</v>
      </c>
      <c r="H456" s="166"/>
      <c r="I456" s="114" t="s">
        <v>495</v>
      </c>
      <c r="J456" s="114" t="str">
        <f>VLOOKUP(I456,Presupuesto!$B$11:$C$565,2,0)</f>
        <v>SUELDOS Y SALARIOS PERMANENTES</v>
      </c>
      <c r="K456" s="98" t="str">
        <f t="shared" si="12"/>
        <v>Posgrado</v>
      </c>
      <c r="L456" s="98" t="s">
        <v>394</v>
      </c>
    </row>
    <row r="457" spans="3:12" x14ac:dyDescent="0.25">
      <c r="C457" s="171" t="s">
        <v>58</v>
      </c>
      <c r="D457" s="163"/>
      <c r="E457" s="154">
        <v>0</v>
      </c>
      <c r="F457" s="100">
        <f>IF(E456=0,"",(G456/E456)/12*E456)</f>
        <v>0</v>
      </c>
      <c r="G457" s="97">
        <f>F457</f>
        <v>0</v>
      </c>
      <c r="H457" s="164"/>
      <c r="I457" s="116" t="s">
        <v>515</v>
      </c>
      <c r="J457" s="116" t="str">
        <f>VLOOKUP(I457,Presupuesto!$B$11:$C$565,2,0)</f>
        <v>AGUINALDO Y DECIMO CUARTO MES</v>
      </c>
      <c r="K457" s="98" t="str">
        <f t="shared" si="12"/>
        <v>Posgrado</v>
      </c>
      <c r="L457" s="98" t="s">
        <v>394</v>
      </c>
    </row>
    <row r="458" spans="3:12" ht="15.75" thickBot="1" x14ac:dyDescent="0.3">
      <c r="C458" s="172" t="s">
        <v>59</v>
      </c>
      <c r="D458" s="163"/>
      <c r="E458" s="154">
        <v>0</v>
      </c>
      <c r="F458" s="117">
        <f>IF(E456&lt;6,"",((E456-6)/12)*(G456/E456))</f>
        <v>0</v>
      </c>
      <c r="G458" s="97">
        <f>F458</f>
        <v>0</v>
      </c>
      <c r="H458" s="164"/>
      <c r="I458" s="101" t="s">
        <v>518</v>
      </c>
      <c r="J458" s="101" t="str">
        <f>VLOOKUP(I458,Presupuesto!$B$11:$C$565,2,0)</f>
        <v>DECIMOCUARTO MES</v>
      </c>
      <c r="K458" s="98" t="str">
        <f t="shared" si="12"/>
        <v>Posgrado</v>
      </c>
      <c r="L458" s="98" t="s">
        <v>394</v>
      </c>
    </row>
    <row r="459" spans="3:12" ht="15.75" thickBot="1" x14ac:dyDescent="0.3">
      <c r="C459" s="137" t="s">
        <v>485</v>
      </c>
      <c r="D459" s="199"/>
      <c r="E459" s="152">
        <v>12</v>
      </c>
      <c r="F459" s="303">
        <f>HLOOKUP($C459,$BZ$2:$CM$3,2,0)</f>
        <v>29777.99</v>
      </c>
      <c r="G459" s="113">
        <f>D459*E459*F459</f>
        <v>0</v>
      </c>
      <c r="H459" s="166"/>
      <c r="I459" s="114" t="s">
        <v>495</v>
      </c>
      <c r="J459" s="114" t="str">
        <f>VLOOKUP(I459,Presupuesto!$B$11:$C$565,2,0)</f>
        <v>SUELDOS Y SALARIOS PERMANENTES</v>
      </c>
      <c r="K459" s="98" t="str">
        <f t="shared" si="12"/>
        <v>Posgrado</v>
      </c>
      <c r="L459" s="98" t="s">
        <v>394</v>
      </c>
    </row>
    <row r="460" spans="3:12" x14ac:dyDescent="0.25">
      <c r="C460" s="171" t="s">
        <v>58</v>
      </c>
      <c r="D460" s="163"/>
      <c r="E460" s="154">
        <v>0</v>
      </c>
      <c r="F460" s="100">
        <f>IF(E459=0,"",(G459/E459)/12*E459)</f>
        <v>0</v>
      </c>
      <c r="G460" s="97">
        <f>F460</f>
        <v>0</v>
      </c>
      <c r="H460" s="164"/>
      <c r="I460" s="116" t="s">
        <v>515</v>
      </c>
      <c r="J460" s="116" t="str">
        <f>VLOOKUP(I460,Presupuesto!$B$11:$C$565,2,0)</f>
        <v>AGUINALDO Y DECIMO CUARTO MES</v>
      </c>
      <c r="K460" s="98" t="str">
        <f t="shared" si="12"/>
        <v>Posgrado</v>
      </c>
      <c r="L460" s="98" t="s">
        <v>394</v>
      </c>
    </row>
    <row r="461" spans="3:12" ht="15.75" thickBot="1" x14ac:dyDescent="0.3">
      <c r="C461" s="172" t="s">
        <v>59</v>
      </c>
      <c r="D461" s="163"/>
      <c r="E461" s="154">
        <v>0</v>
      </c>
      <c r="F461" s="117">
        <f>IF(E459&lt;6,"",((E459-6)/12)*(G459/E459))</f>
        <v>0</v>
      </c>
      <c r="G461" s="97">
        <f>F461</f>
        <v>0</v>
      </c>
      <c r="H461" s="164"/>
      <c r="I461" s="101" t="s">
        <v>518</v>
      </c>
      <c r="J461" s="101" t="str">
        <f>VLOOKUP(I461,Presupuesto!$B$11:$C$565,2,0)</f>
        <v>DECIMOCUARTO MES</v>
      </c>
      <c r="K461" s="98" t="str">
        <f t="shared" si="12"/>
        <v>Posgrado</v>
      </c>
      <c r="L461" s="98" t="s">
        <v>394</v>
      </c>
    </row>
    <row r="462" spans="3:12" ht="15.75" thickBot="1" x14ac:dyDescent="0.3">
      <c r="C462" s="137" t="s">
        <v>486</v>
      </c>
      <c r="D462" s="199"/>
      <c r="E462" s="152">
        <v>12</v>
      </c>
      <c r="F462" s="303">
        <f>HLOOKUP($C462,$BZ$2:$CM$3,2,0)</f>
        <v>27792.79</v>
      </c>
      <c r="G462" s="113">
        <f>D462*E462*F462</f>
        <v>0</v>
      </c>
      <c r="H462" s="166"/>
      <c r="I462" s="114" t="s">
        <v>495</v>
      </c>
      <c r="J462" s="114" t="str">
        <f>VLOOKUP(I462,Presupuesto!$B$11:$C$565,2,0)</f>
        <v>SUELDOS Y SALARIOS PERMANENTES</v>
      </c>
      <c r="K462" s="98" t="str">
        <f t="shared" si="12"/>
        <v>Posgrado</v>
      </c>
      <c r="L462" s="98" t="s">
        <v>394</v>
      </c>
    </row>
    <row r="463" spans="3:12" x14ac:dyDescent="0.25">
      <c r="C463" s="171" t="s">
        <v>58</v>
      </c>
      <c r="D463" s="163"/>
      <c r="E463" s="154">
        <v>0</v>
      </c>
      <c r="F463" s="100">
        <f>IF(E462=0,"",(G462/E462)/12*E462)</f>
        <v>0</v>
      </c>
      <c r="G463" s="97">
        <f>F463</f>
        <v>0</v>
      </c>
      <c r="H463" s="164"/>
      <c r="I463" s="116" t="s">
        <v>515</v>
      </c>
      <c r="J463" s="116" t="str">
        <f>VLOOKUP(I463,Presupuesto!$B$11:$C$565,2,0)</f>
        <v>AGUINALDO Y DECIMO CUARTO MES</v>
      </c>
      <c r="K463" s="98" t="str">
        <f t="shared" si="12"/>
        <v>Posgrado</v>
      </c>
      <c r="L463" s="98" t="s">
        <v>394</v>
      </c>
    </row>
    <row r="464" spans="3:12" ht="15.75" thickBot="1" x14ac:dyDescent="0.3">
      <c r="C464" s="172" t="s">
        <v>59</v>
      </c>
      <c r="D464" s="163"/>
      <c r="E464" s="154">
        <v>0</v>
      </c>
      <c r="F464" s="117">
        <f>IF(E462&lt;6,"",((E462-6)/12)*(G462/E462))</f>
        <v>0</v>
      </c>
      <c r="G464" s="97">
        <f>F464</f>
        <v>0</v>
      </c>
      <c r="H464" s="164"/>
      <c r="I464" s="101" t="s">
        <v>518</v>
      </c>
      <c r="J464" s="101" t="str">
        <f>VLOOKUP(I464,Presupuesto!$B$11:$C$565,2,0)</f>
        <v>DECIMOCUARTO MES</v>
      </c>
      <c r="K464" s="98" t="str">
        <f t="shared" si="12"/>
        <v>Posgrado</v>
      </c>
      <c r="L464" s="98" t="s">
        <v>394</v>
      </c>
    </row>
    <row r="465" spans="3:12" ht="15.75" thickBot="1" x14ac:dyDescent="0.3">
      <c r="C465" s="137" t="s">
        <v>487</v>
      </c>
      <c r="D465" s="199"/>
      <c r="E465" s="152">
        <v>12</v>
      </c>
      <c r="F465" s="303">
        <f>HLOOKUP($C465,$BZ$2:$CM$3,2,0)</f>
        <v>18859.39</v>
      </c>
      <c r="G465" s="113">
        <f>D465*E465*F465</f>
        <v>0</v>
      </c>
      <c r="H465" s="166"/>
      <c r="I465" s="114" t="s">
        <v>495</v>
      </c>
      <c r="J465" s="114" t="str">
        <f>VLOOKUP(I465,Presupuesto!$B$11:$C$565,2,0)</f>
        <v>SUELDOS Y SALARIOS PERMANENTES</v>
      </c>
      <c r="K465" s="98" t="str">
        <f t="shared" si="12"/>
        <v>Posgrado</v>
      </c>
      <c r="L465" s="98" t="s">
        <v>394</v>
      </c>
    </row>
    <row r="466" spans="3:12" x14ac:dyDescent="0.25">
      <c r="C466" s="171" t="s">
        <v>58</v>
      </c>
      <c r="D466" s="163"/>
      <c r="E466" s="154">
        <v>0</v>
      </c>
      <c r="F466" s="100">
        <f>IF(E465=0,"",(G465/E465)/12*E465)</f>
        <v>0</v>
      </c>
      <c r="G466" s="97">
        <f>F466</f>
        <v>0</v>
      </c>
      <c r="H466" s="164"/>
      <c r="I466" s="116" t="s">
        <v>515</v>
      </c>
      <c r="J466" s="116" t="str">
        <f>VLOOKUP(I466,Presupuesto!$B$11:$C$565,2,0)</f>
        <v>AGUINALDO Y DECIMO CUARTO MES</v>
      </c>
      <c r="K466" s="98" t="str">
        <f t="shared" si="12"/>
        <v>Posgrado</v>
      </c>
      <c r="L466" s="98" t="s">
        <v>394</v>
      </c>
    </row>
    <row r="467" spans="3:12" ht="15.75" thickBot="1" x14ac:dyDescent="0.3">
      <c r="C467" s="172" t="s">
        <v>59</v>
      </c>
      <c r="D467" s="163"/>
      <c r="E467" s="154">
        <v>0</v>
      </c>
      <c r="F467" s="117">
        <f>IF(E465&lt;6,"",((E465-6)/12)*(G465/E465))</f>
        <v>0</v>
      </c>
      <c r="G467" s="97">
        <f>F467</f>
        <v>0</v>
      </c>
      <c r="H467" s="164"/>
      <c r="I467" s="101" t="s">
        <v>518</v>
      </c>
      <c r="J467" s="101" t="str">
        <f>VLOOKUP(I467,Presupuesto!$B$11:$C$565,2,0)</f>
        <v>DECIMOCUARTO MES</v>
      </c>
      <c r="K467" s="98" t="str">
        <f t="shared" si="12"/>
        <v>Posgrado</v>
      </c>
      <c r="L467" s="98" t="s">
        <v>394</v>
      </c>
    </row>
    <row r="468" spans="3:12" ht="15.75" thickBot="1" x14ac:dyDescent="0.3">
      <c r="C468" s="137" t="s">
        <v>488</v>
      </c>
      <c r="D468" s="199"/>
      <c r="E468" s="152">
        <v>12</v>
      </c>
      <c r="F468" s="303">
        <f>HLOOKUP($C468,$BZ$2:$CM$3,2,0)</f>
        <v>17866.8</v>
      </c>
      <c r="G468" s="113">
        <f>D468*E468*F468</f>
        <v>0</v>
      </c>
      <c r="H468" s="166"/>
      <c r="I468" s="114" t="s">
        <v>495</v>
      </c>
      <c r="J468" s="114" t="str">
        <f>VLOOKUP(I468,Presupuesto!$B$11:$C$565,2,0)</f>
        <v>SUELDOS Y SALARIOS PERMANENTES</v>
      </c>
      <c r="K468" s="98" t="str">
        <f t="shared" si="12"/>
        <v>Posgrado</v>
      </c>
      <c r="L468" s="98" t="s">
        <v>394</v>
      </c>
    </row>
    <row r="469" spans="3:12" x14ac:dyDescent="0.25">
      <c r="C469" s="171" t="s">
        <v>58</v>
      </c>
      <c r="D469" s="163"/>
      <c r="E469" s="154">
        <v>0</v>
      </c>
      <c r="F469" s="100">
        <f>IF(E468=0,"",(G468/E468)/12*E468)</f>
        <v>0</v>
      </c>
      <c r="G469" s="97">
        <f>F469</f>
        <v>0</v>
      </c>
      <c r="H469" s="164"/>
      <c r="I469" s="116" t="s">
        <v>515</v>
      </c>
      <c r="J469" s="116" t="str">
        <f>VLOOKUP(I469,Presupuesto!$B$11:$C$565,2,0)</f>
        <v>AGUINALDO Y DECIMO CUARTO MES</v>
      </c>
      <c r="K469" s="98" t="str">
        <f t="shared" si="12"/>
        <v>Posgrado</v>
      </c>
      <c r="L469" s="98" t="s">
        <v>394</v>
      </c>
    </row>
    <row r="470" spans="3:12" ht="15.75" thickBot="1" x14ac:dyDescent="0.3">
      <c r="C470" s="172" t="s">
        <v>59</v>
      </c>
      <c r="D470" s="163"/>
      <c r="E470" s="154">
        <v>0</v>
      </c>
      <c r="F470" s="117">
        <f>IF(E468&lt;6,"",((E468-6)/12)*(G468/E468))</f>
        <v>0</v>
      </c>
      <c r="G470" s="97">
        <f>F470</f>
        <v>0</v>
      </c>
      <c r="H470" s="164"/>
      <c r="I470" s="101" t="s">
        <v>518</v>
      </c>
      <c r="J470" s="101" t="str">
        <f>VLOOKUP(I470,Presupuesto!$B$11:$C$565,2,0)</f>
        <v>DECIMOCUARTO MES</v>
      </c>
      <c r="K470" s="98" t="str">
        <f t="shared" si="12"/>
        <v>Posgrado</v>
      </c>
      <c r="L470" s="98" t="s">
        <v>394</v>
      </c>
    </row>
    <row r="471" spans="3:12" ht="15.75" thickBot="1" x14ac:dyDescent="0.3">
      <c r="C471" s="137" t="s">
        <v>489</v>
      </c>
      <c r="D471" s="199"/>
      <c r="E471" s="152">
        <v>12</v>
      </c>
      <c r="F471" s="303">
        <f>HLOOKUP($C471,$BZ$2:$CM$3,2,0)</f>
        <v>13896.4</v>
      </c>
      <c r="G471" s="113">
        <f>D471*E471*F471</f>
        <v>0</v>
      </c>
      <c r="H471" s="166"/>
      <c r="I471" s="114" t="s">
        <v>495</v>
      </c>
      <c r="J471" s="114" t="str">
        <f>VLOOKUP(I471,Presupuesto!$B$11:$C$565,2,0)</f>
        <v>SUELDOS Y SALARIOS PERMANENTES</v>
      </c>
      <c r="K471" s="98" t="str">
        <f t="shared" si="12"/>
        <v>Posgrado</v>
      </c>
      <c r="L471" s="98" t="s">
        <v>394</v>
      </c>
    </row>
    <row r="472" spans="3:12" x14ac:dyDescent="0.25">
      <c r="C472" s="171" t="s">
        <v>58</v>
      </c>
      <c r="D472" s="163"/>
      <c r="E472" s="154">
        <v>0</v>
      </c>
      <c r="F472" s="100">
        <f>IF(E471=0,"",(G471/E471)/12*E471)</f>
        <v>0</v>
      </c>
      <c r="G472" s="97">
        <f>F472</f>
        <v>0</v>
      </c>
      <c r="H472" s="164"/>
      <c r="I472" s="116" t="s">
        <v>515</v>
      </c>
      <c r="J472" s="116" t="str">
        <f>VLOOKUP(I472,Presupuesto!$B$11:$C$565,2,0)</f>
        <v>AGUINALDO Y DECIMO CUARTO MES</v>
      </c>
      <c r="K472" s="98" t="str">
        <f t="shared" si="12"/>
        <v>Posgrado</v>
      </c>
      <c r="L472" s="98" t="s">
        <v>394</v>
      </c>
    </row>
    <row r="473" spans="3:12" ht="15.75" thickBot="1" x14ac:dyDescent="0.3">
      <c r="C473" s="172" t="s">
        <v>59</v>
      </c>
      <c r="D473" s="163"/>
      <c r="E473" s="154">
        <v>0</v>
      </c>
      <c r="F473" s="117">
        <f>IF(E471&lt;6,"",((E471-6)/12)*(G471/E471))</f>
        <v>0</v>
      </c>
      <c r="G473" s="97">
        <f>F473</f>
        <v>0</v>
      </c>
      <c r="H473" s="164"/>
      <c r="I473" s="101" t="s">
        <v>518</v>
      </c>
      <c r="J473" s="101" t="str">
        <f>VLOOKUP(I473,Presupuesto!$B$11:$C$565,2,0)</f>
        <v>DECIMOCUARTO MES</v>
      </c>
      <c r="K473" s="98" t="str">
        <f t="shared" si="12"/>
        <v>Posgrado</v>
      </c>
      <c r="L473" s="98" t="s">
        <v>394</v>
      </c>
    </row>
    <row r="474" spans="3:12" ht="15.75" thickBot="1" x14ac:dyDescent="0.3">
      <c r="C474" s="137" t="s">
        <v>490</v>
      </c>
      <c r="D474" s="199"/>
      <c r="E474" s="152">
        <v>12</v>
      </c>
      <c r="F474" s="303">
        <f>HLOOKUP($C474,$BZ$2:$CM$3,2,0)</f>
        <v>15004.09</v>
      </c>
      <c r="G474" s="113">
        <f>D474*E474*F474</f>
        <v>0</v>
      </c>
      <c r="H474" s="166"/>
      <c r="I474" s="114" t="s">
        <v>495</v>
      </c>
      <c r="J474" s="114" t="str">
        <f>VLOOKUP(I474,Presupuesto!$B$11:$C$565,2,0)</f>
        <v>SUELDOS Y SALARIOS PERMANENTES</v>
      </c>
      <c r="K474" s="98" t="str">
        <f t="shared" si="12"/>
        <v>Posgrado</v>
      </c>
      <c r="L474" s="98" t="s">
        <v>394</v>
      </c>
    </row>
    <row r="475" spans="3:12" x14ac:dyDescent="0.25">
      <c r="C475" s="171" t="s">
        <v>58</v>
      </c>
      <c r="D475" s="163"/>
      <c r="E475" s="154">
        <v>0</v>
      </c>
      <c r="F475" s="100">
        <f>IF(E474=0,"",(G474/E474)/12*E474)</f>
        <v>0</v>
      </c>
      <c r="G475" s="97">
        <f>F475</f>
        <v>0</v>
      </c>
      <c r="H475" s="164"/>
      <c r="I475" s="116" t="s">
        <v>515</v>
      </c>
      <c r="J475" s="116" t="str">
        <f>VLOOKUP(I475,Presupuesto!$B$11:$C$565,2,0)</f>
        <v>AGUINALDO Y DECIMO CUARTO MES</v>
      </c>
      <c r="K475" s="98" t="str">
        <f t="shared" si="12"/>
        <v>Posgrado</v>
      </c>
      <c r="L475" s="98" t="s">
        <v>394</v>
      </c>
    </row>
    <row r="476" spans="3:12" ht="15.75" thickBot="1" x14ac:dyDescent="0.3">
      <c r="C476" s="172" t="s">
        <v>59</v>
      </c>
      <c r="D476" s="163"/>
      <c r="E476" s="154">
        <v>0</v>
      </c>
      <c r="F476" s="117">
        <f>IF(E474&lt;6,"",((E474-6)/12)*(G474/E474))</f>
        <v>0</v>
      </c>
      <c r="G476" s="97">
        <f>F476</f>
        <v>0</v>
      </c>
      <c r="H476" s="164"/>
      <c r="I476" s="101" t="s">
        <v>518</v>
      </c>
      <c r="J476" s="101" t="str">
        <f>VLOOKUP(I476,Presupuesto!$B$11:$C$565,2,0)</f>
        <v>DECIMOCUARTO MES</v>
      </c>
      <c r="K476" s="98" t="str">
        <f t="shared" si="12"/>
        <v>Posgrado</v>
      </c>
      <c r="L476" s="98" t="s">
        <v>394</v>
      </c>
    </row>
    <row r="477" spans="3:12" ht="15.75" thickBot="1" x14ac:dyDescent="0.3">
      <c r="C477" s="137" t="s">
        <v>491</v>
      </c>
      <c r="D477" s="199"/>
      <c r="E477" s="152">
        <v>12</v>
      </c>
      <c r="F477" s="303">
        <f>HLOOKUP($C477,$BZ$2:$CM$3,2,0)</f>
        <v>13238.9</v>
      </c>
      <c r="G477" s="113">
        <f>D477*E477*F477</f>
        <v>0</v>
      </c>
      <c r="H477" s="166"/>
      <c r="I477" s="114" t="s">
        <v>495</v>
      </c>
      <c r="J477" s="114" t="str">
        <f>VLOOKUP(I477,Presupuesto!$B$11:$C$565,2,0)</f>
        <v>SUELDOS Y SALARIOS PERMANENTES</v>
      </c>
      <c r="K477" s="98" t="str">
        <f t="shared" si="12"/>
        <v>Posgrado</v>
      </c>
      <c r="L477" s="98" t="s">
        <v>394</v>
      </c>
    </row>
    <row r="478" spans="3:12" x14ac:dyDescent="0.25">
      <c r="C478" s="171" t="s">
        <v>58</v>
      </c>
      <c r="D478" s="163"/>
      <c r="E478" s="154">
        <v>0</v>
      </c>
      <c r="F478" s="100">
        <f>IF(E477=0,"",(G477/E477)/12*E477)</f>
        <v>0</v>
      </c>
      <c r="G478" s="97">
        <f>F478</f>
        <v>0</v>
      </c>
      <c r="H478" s="164"/>
      <c r="I478" s="116" t="s">
        <v>515</v>
      </c>
      <c r="J478" s="116" t="str">
        <f>VLOOKUP(I478,Presupuesto!$B$11:$C$565,2,0)</f>
        <v>AGUINALDO Y DECIMO CUARTO MES</v>
      </c>
      <c r="K478" s="98" t="str">
        <f t="shared" si="12"/>
        <v>Posgrado</v>
      </c>
      <c r="L478" s="98" t="s">
        <v>394</v>
      </c>
    </row>
    <row r="479" spans="3:12" ht="15.75" thickBot="1" x14ac:dyDescent="0.3">
      <c r="C479" s="172" t="s">
        <v>59</v>
      </c>
      <c r="D479" s="163"/>
      <c r="E479" s="154">
        <v>0</v>
      </c>
      <c r="F479" s="117">
        <f>IF(E477&lt;6,"",((E477-6)/12)*(G477/E477))</f>
        <v>0</v>
      </c>
      <c r="G479" s="97">
        <f>F479</f>
        <v>0</v>
      </c>
      <c r="H479" s="164"/>
      <c r="I479" s="101" t="s">
        <v>518</v>
      </c>
      <c r="J479" s="101" t="str">
        <f>VLOOKUP(I479,Presupuesto!$B$11:$C$565,2,0)</f>
        <v>DECIMOCUARTO MES</v>
      </c>
      <c r="K479" s="98" t="str">
        <f t="shared" si="12"/>
        <v>Posgrado</v>
      </c>
      <c r="L479" s="98" t="s">
        <v>394</v>
      </c>
    </row>
    <row r="480" spans="3:12" ht="15.75" thickBot="1" x14ac:dyDescent="0.3">
      <c r="C480" s="137" t="s">
        <v>492</v>
      </c>
      <c r="D480" s="199"/>
      <c r="E480" s="152">
        <v>12</v>
      </c>
      <c r="F480" s="303">
        <f>HLOOKUP($C480,$BZ$2:$CM$3,2,0)</f>
        <v>12356.31</v>
      </c>
      <c r="G480" s="113">
        <f>D480*E480*F480</f>
        <v>0</v>
      </c>
      <c r="H480" s="166"/>
      <c r="I480" s="114" t="s">
        <v>495</v>
      </c>
      <c r="J480" s="114" t="str">
        <f>VLOOKUP(I480,Presupuesto!$B$11:$C$565,2,0)</f>
        <v>SUELDOS Y SALARIOS PERMANENTES</v>
      </c>
      <c r="K480" s="98" t="str">
        <f t="shared" ref="K480:K497" si="13">$K$447</f>
        <v>Posgrado</v>
      </c>
      <c r="L480" s="98" t="s">
        <v>394</v>
      </c>
    </row>
    <row r="481" spans="3:12" x14ac:dyDescent="0.25">
      <c r="C481" s="171" t="s">
        <v>58</v>
      </c>
      <c r="D481" s="163"/>
      <c r="E481" s="154">
        <v>0</v>
      </c>
      <c r="F481" s="100">
        <f>IF(E480=0,"",(G480/E480)/12*E480)</f>
        <v>0</v>
      </c>
      <c r="G481" s="97">
        <f>F481</f>
        <v>0</v>
      </c>
      <c r="H481" s="164"/>
      <c r="I481" s="116" t="s">
        <v>515</v>
      </c>
      <c r="J481" s="116" t="str">
        <f>VLOOKUP(I481,Presupuesto!$B$11:$C$565,2,0)</f>
        <v>AGUINALDO Y DECIMO CUARTO MES</v>
      </c>
      <c r="K481" s="98" t="str">
        <f t="shared" si="13"/>
        <v>Posgrado</v>
      </c>
      <c r="L481" s="98" t="s">
        <v>394</v>
      </c>
    </row>
    <row r="482" spans="3:12" ht="15.75" thickBot="1" x14ac:dyDescent="0.3">
      <c r="C482" s="172" t="s">
        <v>59</v>
      </c>
      <c r="D482" s="163"/>
      <c r="E482" s="154">
        <v>0</v>
      </c>
      <c r="F482" s="117">
        <f>IF(E480&lt;6,"",((E480-6)/12)*(G480/E480))</f>
        <v>0</v>
      </c>
      <c r="G482" s="97">
        <f>F482</f>
        <v>0</v>
      </c>
      <c r="H482" s="164"/>
      <c r="I482" s="101" t="s">
        <v>518</v>
      </c>
      <c r="J482" s="101" t="str">
        <f>VLOOKUP(I482,Presupuesto!$B$11:$C$565,2,0)</f>
        <v>DECIMOCUARTO MES</v>
      </c>
      <c r="K482" s="98" t="str">
        <f t="shared" si="13"/>
        <v>Posgrado</v>
      </c>
      <c r="L482" s="98" t="s">
        <v>394</v>
      </c>
    </row>
    <row r="483" spans="3:12" ht="15.75" thickBot="1" x14ac:dyDescent="0.3">
      <c r="C483" s="137" t="s">
        <v>493</v>
      </c>
      <c r="D483" s="199"/>
      <c r="E483" s="152">
        <v>12</v>
      </c>
      <c r="F483" s="303">
        <f>HLOOKUP($C483,$BZ$2:$CM$3,2,0)</f>
        <v>463.22</v>
      </c>
      <c r="G483" s="113">
        <f>D483*E483*F483</f>
        <v>0</v>
      </c>
      <c r="H483" s="166"/>
      <c r="I483" s="114" t="s">
        <v>495</v>
      </c>
      <c r="J483" s="114" t="str">
        <f>VLOOKUP(I483,Presupuesto!$B$11:$C$565,2,0)</f>
        <v>SUELDOS Y SALARIOS PERMANENTES</v>
      </c>
      <c r="K483" s="98" t="str">
        <f t="shared" si="13"/>
        <v>Posgrado</v>
      </c>
      <c r="L483" s="98" t="s">
        <v>394</v>
      </c>
    </row>
    <row r="484" spans="3:12" x14ac:dyDescent="0.25">
      <c r="C484" s="171" t="s">
        <v>58</v>
      </c>
      <c r="D484" s="163"/>
      <c r="E484" s="154">
        <v>0</v>
      </c>
      <c r="F484" s="100">
        <f>IF(E483=0,"",(G483/E483)/12*E483)</f>
        <v>0</v>
      </c>
      <c r="G484" s="97">
        <f>F484</f>
        <v>0</v>
      </c>
      <c r="H484" s="164"/>
      <c r="I484" s="116" t="s">
        <v>515</v>
      </c>
      <c r="J484" s="116" t="str">
        <f>VLOOKUP(I484,Presupuesto!$B$11:$C$565,2,0)</f>
        <v>AGUINALDO Y DECIMO CUARTO MES</v>
      </c>
      <c r="K484" s="98" t="str">
        <f t="shared" si="13"/>
        <v>Posgrado</v>
      </c>
      <c r="L484" s="98" t="s">
        <v>394</v>
      </c>
    </row>
    <row r="485" spans="3:12" ht="15.75" thickBot="1" x14ac:dyDescent="0.3">
      <c r="C485" s="172" t="s">
        <v>59</v>
      </c>
      <c r="D485" s="163"/>
      <c r="E485" s="154">
        <v>0</v>
      </c>
      <c r="F485" s="117">
        <f>IF(E483&lt;6,"",((E483-6)/12)*(G483/E483))</f>
        <v>0</v>
      </c>
      <c r="G485" s="97">
        <f>F485</f>
        <v>0</v>
      </c>
      <c r="H485" s="164"/>
      <c r="I485" s="101" t="s">
        <v>518</v>
      </c>
      <c r="J485" s="101" t="str">
        <f>VLOOKUP(I485,Presupuesto!$B$11:$C$565,2,0)</f>
        <v>DECIMOCUARTO MES</v>
      </c>
      <c r="K485" s="98" t="str">
        <f t="shared" si="13"/>
        <v>Posgrado</v>
      </c>
      <c r="L485" s="98" t="s">
        <v>394</v>
      </c>
    </row>
    <row r="486" spans="3:12" ht="15.75" thickBot="1" x14ac:dyDescent="0.3">
      <c r="C486" s="137" t="s">
        <v>494</v>
      </c>
      <c r="D486" s="199"/>
      <c r="E486" s="152">
        <v>12</v>
      </c>
      <c r="F486" s="303">
        <f>HLOOKUP($C486,$BZ$2:$CM$3,2,0)</f>
        <v>2007.3</v>
      </c>
      <c r="G486" s="113">
        <f>D486*E486*F486</f>
        <v>0</v>
      </c>
      <c r="H486" s="166"/>
      <c r="I486" s="114" t="s">
        <v>495</v>
      </c>
      <c r="J486" s="114" t="str">
        <f>VLOOKUP(I486,Presupuesto!$B$11:$C$565,2,0)</f>
        <v>SUELDOS Y SALARIOS PERMANENTES</v>
      </c>
      <c r="K486" s="98" t="str">
        <f t="shared" si="13"/>
        <v>Posgrado</v>
      </c>
      <c r="L486" s="98" t="s">
        <v>394</v>
      </c>
    </row>
    <row r="487" spans="3:12" x14ac:dyDescent="0.25">
      <c r="C487" s="171" t="s">
        <v>58</v>
      </c>
      <c r="D487" s="163"/>
      <c r="E487" s="154">
        <v>0</v>
      </c>
      <c r="F487" s="100">
        <f>IF(E486=0,"",(G486/E486)/12*E486)</f>
        <v>0</v>
      </c>
      <c r="G487" s="97">
        <f>F487</f>
        <v>0</v>
      </c>
      <c r="H487" s="164"/>
      <c r="I487" s="116" t="s">
        <v>515</v>
      </c>
      <c r="J487" s="116" t="str">
        <f>VLOOKUP(I487,Presupuesto!$B$11:$C$565,2,0)</f>
        <v>AGUINALDO Y DECIMO CUARTO MES</v>
      </c>
      <c r="K487" s="98" t="str">
        <f t="shared" si="13"/>
        <v>Posgrado</v>
      </c>
      <c r="L487" s="98" t="s">
        <v>394</v>
      </c>
    </row>
    <row r="488" spans="3:12" ht="15.75" thickBot="1" x14ac:dyDescent="0.3">
      <c r="C488" s="172" t="s">
        <v>59</v>
      </c>
      <c r="D488" s="163"/>
      <c r="E488" s="154">
        <v>0</v>
      </c>
      <c r="F488" s="117">
        <f>IF(E486&lt;6,"",((E486-6)/12)*(G486/E486))</f>
        <v>0</v>
      </c>
      <c r="G488" s="97">
        <f>F488</f>
        <v>0</v>
      </c>
      <c r="H488" s="164"/>
      <c r="I488" s="101" t="s">
        <v>518</v>
      </c>
      <c r="J488" s="101" t="str">
        <f>VLOOKUP(I488,Presupuesto!$B$11:$C$565,2,0)</f>
        <v>DECIMOCUARTO MES</v>
      </c>
      <c r="K488" s="98" t="str">
        <f t="shared" si="13"/>
        <v>Posgrado</v>
      </c>
      <c r="L488" s="98" t="s">
        <v>394</v>
      </c>
    </row>
    <row r="489" spans="3:12" ht="15.75" thickBot="1" x14ac:dyDescent="0.3">
      <c r="C489" s="140" t="s">
        <v>83</v>
      </c>
      <c r="D489" s="199"/>
      <c r="E489" s="152">
        <v>12</v>
      </c>
      <c r="F489" s="139">
        <v>30000</v>
      </c>
      <c r="G489" s="113">
        <f>D489*E489*F489</f>
        <v>0</v>
      </c>
      <c r="H489" s="166"/>
      <c r="I489" s="114" t="s">
        <v>563</v>
      </c>
      <c r="J489" s="114" t="str">
        <f>VLOOKUP(I489,Presupuesto!$B$11:$C$565,2,0)</f>
        <v>CONTRATOS ESPECIALES</v>
      </c>
      <c r="K489" s="98" t="str">
        <f t="shared" si="13"/>
        <v>Posgrado</v>
      </c>
      <c r="L489" s="98" t="s">
        <v>394</v>
      </c>
    </row>
    <row r="490" spans="3:12" x14ac:dyDescent="0.25">
      <c r="C490" s="171" t="s">
        <v>58</v>
      </c>
      <c r="D490" s="163"/>
      <c r="E490" s="154">
        <v>0</v>
      </c>
      <c r="F490" s="117">
        <f>IF(E489=0,"",(G489/E489)/12*E489)</f>
        <v>0</v>
      </c>
      <c r="G490" s="97">
        <f>F490</f>
        <v>0</v>
      </c>
      <c r="H490" s="164"/>
      <c r="I490" s="101" t="s">
        <v>563</v>
      </c>
      <c r="J490" s="101" t="str">
        <f>VLOOKUP(I490,Presupuesto!$B$11:$C$565,2,0)</f>
        <v>CONTRATOS ESPECIALES</v>
      </c>
      <c r="K490" s="98" t="str">
        <f t="shared" si="13"/>
        <v>Posgrado</v>
      </c>
      <c r="L490" s="98" t="s">
        <v>393</v>
      </c>
    </row>
    <row r="491" spans="3:12" ht="15.75" thickBot="1" x14ac:dyDescent="0.3">
      <c r="C491" s="172" t="s">
        <v>59</v>
      </c>
      <c r="D491" s="163"/>
      <c r="E491" s="154">
        <v>0</v>
      </c>
      <c r="F491" s="100">
        <f>IF(E489&lt;6,"",((E489-6)/12)*(G489/E489))</f>
        <v>0</v>
      </c>
      <c r="G491" s="97">
        <f>F491</f>
        <v>0</v>
      </c>
      <c r="H491" s="164"/>
      <c r="I491" s="101" t="s">
        <v>563</v>
      </c>
      <c r="J491" s="101" t="str">
        <f>VLOOKUP(I491,Presupuesto!$B$11:$C$565,2,0)</f>
        <v>CONTRATOS ESPECIALES</v>
      </c>
      <c r="K491" s="98" t="str">
        <f t="shared" si="13"/>
        <v>Posgrado</v>
      </c>
      <c r="L491" s="98" t="s">
        <v>398</v>
      </c>
    </row>
    <row r="492" spans="3:12" ht="15.75" thickBot="1" x14ac:dyDescent="0.3">
      <c r="C492" s="140" t="s">
        <v>60</v>
      </c>
      <c r="D492" s="199"/>
      <c r="E492" s="152">
        <v>12</v>
      </c>
      <c r="F492" s="118">
        <v>30000</v>
      </c>
      <c r="G492" s="113">
        <f>D492*E492*F492</f>
        <v>0</v>
      </c>
      <c r="H492" s="166"/>
      <c r="I492" s="114" t="s">
        <v>704</v>
      </c>
      <c r="J492" s="114" t="str">
        <f>VLOOKUP(I492,Presupuesto!$B$11:$C$565,2,0)</f>
        <v>OTROS SERVICIOS TECNICOS Y PROFESIONALES</v>
      </c>
      <c r="K492" s="98" t="str">
        <f t="shared" si="13"/>
        <v>Posgrado</v>
      </c>
      <c r="L492" s="98" t="s">
        <v>393</v>
      </c>
    </row>
    <row r="493" spans="3:12" x14ac:dyDescent="0.25">
      <c r="C493" s="171" t="s">
        <v>58</v>
      </c>
      <c r="D493" s="163"/>
      <c r="E493" s="154">
        <v>0</v>
      </c>
      <c r="F493" s="100">
        <v>0</v>
      </c>
      <c r="G493" s="97">
        <f>F493</f>
        <v>0</v>
      </c>
      <c r="H493" s="164"/>
      <c r="I493" s="101" t="s">
        <v>704</v>
      </c>
      <c r="J493" s="101" t="str">
        <f>VLOOKUP(I493,Presupuesto!$B$11:$C$565,2,0)</f>
        <v>OTROS SERVICIOS TECNICOS Y PROFESIONALES</v>
      </c>
      <c r="K493" s="98" t="str">
        <f t="shared" si="13"/>
        <v>Posgrado</v>
      </c>
      <c r="L493" s="98" t="s">
        <v>393</v>
      </c>
    </row>
    <row r="494" spans="3:12" ht="15.75" thickBot="1" x14ac:dyDescent="0.3">
      <c r="C494" s="172" t="s">
        <v>59</v>
      </c>
      <c r="D494" s="163"/>
      <c r="E494" s="154">
        <v>0</v>
      </c>
      <c r="F494" s="100">
        <v>0</v>
      </c>
      <c r="G494" s="97">
        <f>F494</f>
        <v>0</v>
      </c>
      <c r="H494" s="164"/>
      <c r="I494" s="101" t="s">
        <v>704</v>
      </c>
      <c r="J494" s="101" t="str">
        <f>VLOOKUP(I494,Presupuesto!$B$11:$C$565,2,0)</f>
        <v>OTROS SERVICIOS TECNICOS Y PROFESIONALES</v>
      </c>
      <c r="K494" s="98" t="str">
        <f t="shared" si="13"/>
        <v>Posgrado</v>
      </c>
      <c r="L494" s="98" t="s">
        <v>393</v>
      </c>
    </row>
    <row r="495" spans="3:12" ht="15.75" thickBot="1" x14ac:dyDescent="0.3">
      <c r="C495" s="140" t="s">
        <v>61</v>
      </c>
      <c r="D495" s="199"/>
      <c r="E495" s="152">
        <v>12</v>
      </c>
      <c r="F495" s="118">
        <v>30000</v>
      </c>
      <c r="G495" s="113">
        <f>D495*E495*F495</f>
        <v>0</v>
      </c>
      <c r="H495" s="166"/>
      <c r="I495" s="114" t="s">
        <v>495</v>
      </c>
      <c r="J495" s="114" t="str">
        <f>VLOOKUP(I495,Presupuesto!$B$11:$C$565,2,0)</f>
        <v>SUELDOS Y SALARIOS PERMANENTES</v>
      </c>
      <c r="K495" s="98" t="str">
        <f t="shared" si="13"/>
        <v>Posgrado</v>
      </c>
      <c r="L495" s="98" t="s">
        <v>393</v>
      </c>
    </row>
    <row r="496" spans="3:12" x14ac:dyDescent="0.25">
      <c r="C496" s="171" t="s">
        <v>58</v>
      </c>
      <c r="D496" s="169"/>
      <c r="E496" s="131">
        <v>0</v>
      </c>
      <c r="F496" s="119">
        <f>IF(E495=0,"",(G495/E495)/12*E495)</f>
        <v>0</v>
      </c>
      <c r="G496" s="120">
        <f>F496</f>
        <v>0</v>
      </c>
      <c r="H496" s="164"/>
      <c r="I496" s="101" t="s">
        <v>515</v>
      </c>
      <c r="J496" s="101" t="str">
        <f>VLOOKUP(I496,Presupuesto!$B$11:$C$565,2,0)</f>
        <v>AGUINALDO Y DECIMO CUARTO MES</v>
      </c>
      <c r="K496" s="98" t="str">
        <f t="shared" si="13"/>
        <v>Posgrado</v>
      </c>
      <c r="L496" s="98" t="s">
        <v>393</v>
      </c>
    </row>
    <row r="497" spans="3:12" ht="15.75" thickBot="1" x14ac:dyDescent="0.3">
      <c r="C497" s="173" t="s">
        <v>59</v>
      </c>
      <c r="D497" s="162"/>
      <c r="E497" s="132">
        <v>0</v>
      </c>
      <c r="F497" s="105">
        <f>IF(E495&lt;6,"",((E495-6)/12)*(G495/E495))</f>
        <v>0</v>
      </c>
      <c r="G497" s="105">
        <f>F497</f>
        <v>0</v>
      </c>
      <c r="H497" s="162"/>
      <c r="I497" s="106" t="s">
        <v>518</v>
      </c>
      <c r="J497" s="124" t="str">
        <f>VLOOKUP(I497,Presupuesto!$B$11:$C$565,2,0)</f>
        <v>DECIMOCUARTO MES</v>
      </c>
      <c r="K497" s="106" t="str">
        <f t="shared" si="13"/>
        <v>Posgrado</v>
      </c>
      <c r="L497" s="124" t="s">
        <v>393</v>
      </c>
    </row>
    <row r="499" spans="3:12" ht="15.75" thickBot="1" x14ac:dyDescent="0.3">
      <c r="K499" s="153"/>
    </row>
    <row r="500" spans="3:12" ht="15.75" thickBot="1" x14ac:dyDescent="0.3">
      <c r="C500" s="69" t="s">
        <v>43</v>
      </c>
      <c r="D500" s="30">
        <f>SUM(G507:G557)</f>
        <v>0</v>
      </c>
      <c r="E500" s="93"/>
      <c r="F500" s="93"/>
      <c r="G500" s="93"/>
      <c r="H500" s="76"/>
      <c r="I500" s="76"/>
      <c r="J500" s="76"/>
      <c r="K500" s="153"/>
    </row>
    <row r="501" spans="3:12" x14ac:dyDescent="0.25">
      <c r="D501" s="31"/>
      <c r="E501" s="93"/>
      <c r="F501" s="93"/>
      <c r="G501" s="93"/>
      <c r="H501" s="76"/>
      <c r="I501" s="76"/>
      <c r="J501" s="76"/>
      <c r="K501" s="153"/>
    </row>
    <row r="502" spans="3:12" x14ac:dyDescent="0.25">
      <c r="D502" s="31"/>
      <c r="E502" s="93"/>
      <c r="F502" s="93"/>
      <c r="G502" s="93"/>
      <c r="H502" s="76"/>
      <c r="I502" s="76"/>
      <c r="J502" s="76"/>
      <c r="K502" s="153"/>
    </row>
    <row r="503" spans="3:12" ht="15.75" x14ac:dyDescent="0.25">
      <c r="C503" s="202" t="s">
        <v>391</v>
      </c>
      <c r="D503" s="368"/>
      <c r="E503" s="93"/>
      <c r="F503" s="93"/>
      <c r="G503" s="93"/>
      <c r="H503" s="76"/>
      <c r="I503" s="76"/>
      <c r="J503" s="76"/>
      <c r="K503" s="153"/>
    </row>
    <row r="504" spans="3:12" ht="18.75" x14ac:dyDescent="0.25">
      <c r="C504" s="210" t="e">
        <f>IFERROR(VLOOKUP(D503,'1. Desarrollo e Innov. Curricu.'!$F:$G,2,FALSE),IFERROR(VLOOKUP(D503,'2. Investigación Científica'!$F:$G,2,FALSE),IFERROR(VLOOKUP(D503,'3. Vinculación Univ. Sociedad'!$F:$G,2,FALSE),IFERROR(VLOOKUP(D503,'4. Docencia y Profesorado Univ.'!$F:$G,2,FALSE),IFERROR(VLOOKUP(D503,'5. Estudiantes y Graduados'!$F:$G,2,FALSE),IFERROR(VLOOKUP(D503,'11. Gestion Administrativa'!$F:$G,2,FALSE),IFERROR(VLOOKUP(D503,'13. Gestión Académica'!$F:$G,2,FALSE),IFERROR(VLOOKUP(D503,'9. Asegura. de la Calid. y M'!$F:$G,2,FALSE),IFERROR(VLOOKUP(D503,'6. Gestión del Conocimiento'!$F:$G,2,FALSE),IFERROR(VLOOKUP(D503,'15. Gobernabilidad y Proceso...'!$F:$G,2,FALSE),IFERROR(VLOOKUP(D503,'12. Gestión del Talento Humano'!$F:$G,2,FALSE),IFERROR(VLOOKUP(D503,'14. Internacional... de la E.S.'!$F:$G,2,FALSE),IFERROR(VLOOKUP(D503,'10. Posgrado'!$F:$G,2,FALSE),IFERROR(VLOOKUP(D503,'17. Gestión TIC'!$F:$G,2,FALSE),IFERROR(VLOOKUP(D503,'16. Desa. del Sistema Educ.Sup.'!$F:$G,2,FALSE),IFERROR(VLOOKUP(D503,'8. Cultura de Inno. Insti...'!$F:$G,2,FALSE),VLOOKUP(D503,'7. Lo Esencial de la Reforma U.'!$F:$G,2,0)))))))))))))))))</f>
        <v>#N/A</v>
      </c>
      <c r="D504" s="31"/>
      <c r="E504" s="93"/>
      <c r="F504" s="93"/>
      <c r="G504" s="93"/>
      <c r="H504" s="76"/>
      <c r="I504" s="76"/>
      <c r="J504" s="76"/>
      <c r="K504" s="153"/>
    </row>
    <row r="505" spans="3:12" ht="15.75" thickBot="1" x14ac:dyDescent="0.3">
      <c r="C505" s="177"/>
      <c r="D505" s="31"/>
      <c r="E505" s="93"/>
      <c r="F505" s="93"/>
      <c r="G505" s="93"/>
      <c r="H505" s="76"/>
      <c r="I505" s="76"/>
      <c r="J505" s="76"/>
      <c r="K505" s="153"/>
    </row>
    <row r="506" spans="3:12" ht="30.75" thickBot="1" x14ac:dyDescent="0.3">
      <c r="C506" s="134" t="s">
        <v>44</v>
      </c>
      <c r="D506" s="138" t="s">
        <v>55</v>
      </c>
      <c r="E506" s="170" t="s">
        <v>56</v>
      </c>
      <c r="F506" s="138" t="s">
        <v>57</v>
      </c>
      <c r="G506" s="135" t="s">
        <v>27</v>
      </c>
      <c r="H506" s="133" t="s">
        <v>130</v>
      </c>
      <c r="I506" s="136" t="s">
        <v>46</v>
      </c>
      <c r="J506" s="136" t="s">
        <v>131</v>
      </c>
      <c r="K506" s="136" t="s">
        <v>409</v>
      </c>
      <c r="L506" s="136" t="s">
        <v>410</v>
      </c>
    </row>
    <row r="507" spans="3:12" ht="15.75" thickBot="1" x14ac:dyDescent="0.3">
      <c r="C507" s="137" t="s">
        <v>481</v>
      </c>
      <c r="D507" s="199"/>
      <c r="E507" s="152">
        <v>12</v>
      </c>
      <c r="F507" s="303">
        <f>HLOOKUP($C507,$BZ$2:$CM$3,2,0)</f>
        <v>43674.39</v>
      </c>
      <c r="G507" s="113">
        <f>D507*E507*F507</f>
        <v>0</v>
      </c>
      <c r="H507" s="166"/>
      <c r="I507" s="114" t="s">
        <v>495</v>
      </c>
      <c r="J507" s="114" t="str">
        <f>VLOOKUP(I507,Presupuesto!$B$11:$C$565,2,0)</f>
        <v>SUELDOS Y SALARIOS PERMANENTES</v>
      </c>
      <c r="K507" s="218" t="s">
        <v>1449</v>
      </c>
      <c r="L507" s="98" t="s">
        <v>393</v>
      </c>
    </row>
    <row r="508" spans="3:12" x14ac:dyDescent="0.25">
      <c r="C508" s="171" t="s">
        <v>58</v>
      </c>
      <c r="D508" s="163"/>
      <c r="E508" s="154">
        <v>0</v>
      </c>
      <c r="F508" s="100">
        <f>IF(E507=0,"",(G507/E507)/12*E507)</f>
        <v>0</v>
      </c>
      <c r="G508" s="97">
        <f>F508</f>
        <v>0</v>
      </c>
      <c r="H508" s="164"/>
      <c r="I508" s="116" t="s">
        <v>515</v>
      </c>
      <c r="J508" s="116" t="str">
        <f>VLOOKUP(I508,Presupuesto!$B$11:$C$565,2,0)</f>
        <v>AGUINALDO Y DECIMO CUARTO MES</v>
      </c>
      <c r="K508" s="98" t="str">
        <f t="shared" ref="K508:K539" si="14">$K$507</f>
        <v>Posgrado</v>
      </c>
      <c r="L508" s="98" t="s">
        <v>411</v>
      </c>
    </row>
    <row r="509" spans="3:12" ht="15.75" thickBot="1" x14ac:dyDescent="0.3">
      <c r="C509" s="172" t="s">
        <v>59</v>
      </c>
      <c r="D509" s="163"/>
      <c r="E509" s="154">
        <v>0</v>
      </c>
      <c r="F509" s="117">
        <f>IF(E507&lt;6,"",((E507-6)/12)*(G507/E507))</f>
        <v>0</v>
      </c>
      <c r="G509" s="97">
        <f>F509</f>
        <v>0</v>
      </c>
      <c r="H509" s="164"/>
      <c r="I509" s="101" t="s">
        <v>518</v>
      </c>
      <c r="J509" s="101" t="str">
        <f>VLOOKUP(I509,Presupuesto!$B$11:$C$565,2,0)</f>
        <v>DECIMOCUARTO MES</v>
      </c>
      <c r="K509" s="98" t="str">
        <f t="shared" si="14"/>
        <v>Posgrado</v>
      </c>
      <c r="L509" s="98" t="s">
        <v>394</v>
      </c>
    </row>
    <row r="510" spans="3:12" ht="15.75" thickBot="1" x14ac:dyDescent="0.3">
      <c r="C510" s="137" t="s">
        <v>482</v>
      </c>
      <c r="D510" s="199"/>
      <c r="E510" s="152">
        <v>12</v>
      </c>
      <c r="F510" s="303">
        <f>HLOOKUP($C510,$BZ$2:$CM$3,2,0)</f>
        <v>39703.99</v>
      </c>
      <c r="G510" s="113">
        <f>D510*E510*F510</f>
        <v>0</v>
      </c>
      <c r="H510" s="166"/>
      <c r="I510" s="114" t="s">
        <v>495</v>
      </c>
      <c r="J510" s="114" t="str">
        <f>VLOOKUP(I510,Presupuesto!$B$11:$C$565,2,0)</f>
        <v>SUELDOS Y SALARIOS PERMANENTES</v>
      </c>
      <c r="K510" s="98" t="str">
        <f t="shared" si="14"/>
        <v>Posgrado</v>
      </c>
      <c r="L510" s="98" t="s">
        <v>394</v>
      </c>
    </row>
    <row r="511" spans="3:12" x14ac:dyDescent="0.25">
      <c r="C511" s="171" t="s">
        <v>58</v>
      </c>
      <c r="D511" s="163"/>
      <c r="E511" s="154">
        <v>0</v>
      </c>
      <c r="F511" s="100">
        <f>IF(E510=0,"",(G510/E510)/12*E510)</f>
        <v>0</v>
      </c>
      <c r="G511" s="97">
        <f>F511</f>
        <v>0</v>
      </c>
      <c r="H511" s="164"/>
      <c r="I511" s="116" t="s">
        <v>515</v>
      </c>
      <c r="J511" s="116" t="str">
        <f>VLOOKUP(I511,Presupuesto!$B$11:$C$565,2,0)</f>
        <v>AGUINALDO Y DECIMO CUARTO MES</v>
      </c>
      <c r="K511" s="98" t="str">
        <f t="shared" si="14"/>
        <v>Posgrado</v>
      </c>
      <c r="L511" s="98" t="s">
        <v>394</v>
      </c>
    </row>
    <row r="512" spans="3:12" ht="15.75" thickBot="1" x14ac:dyDescent="0.3">
      <c r="C512" s="172" t="s">
        <v>59</v>
      </c>
      <c r="D512" s="163"/>
      <c r="E512" s="154">
        <v>0</v>
      </c>
      <c r="F512" s="117">
        <f>IF(E510&lt;6,"",((E510-6)/12)*(G510/E510))</f>
        <v>0</v>
      </c>
      <c r="G512" s="97">
        <f>F512</f>
        <v>0</v>
      </c>
      <c r="H512" s="164"/>
      <c r="I512" s="101" t="s">
        <v>518</v>
      </c>
      <c r="J512" s="101" t="str">
        <f>VLOOKUP(I512,Presupuesto!$B$11:$C$565,2,0)</f>
        <v>DECIMOCUARTO MES</v>
      </c>
      <c r="K512" s="98" t="str">
        <f t="shared" si="14"/>
        <v>Posgrado</v>
      </c>
      <c r="L512" s="98" t="s">
        <v>394</v>
      </c>
    </row>
    <row r="513" spans="3:12" ht="15.75" thickBot="1" x14ac:dyDescent="0.3">
      <c r="C513" s="137" t="s">
        <v>483</v>
      </c>
      <c r="D513" s="199"/>
      <c r="E513" s="152">
        <v>12</v>
      </c>
      <c r="F513" s="303">
        <f>HLOOKUP($C513,$BZ$2:$CM$3,2,0)</f>
        <v>35733.589999999997</v>
      </c>
      <c r="G513" s="113">
        <f>D513*E513*F513</f>
        <v>0</v>
      </c>
      <c r="H513" s="166"/>
      <c r="I513" s="114" t="s">
        <v>495</v>
      </c>
      <c r="J513" s="114" t="str">
        <f>VLOOKUP(I513,Presupuesto!$B$11:$C$565,2,0)</f>
        <v>SUELDOS Y SALARIOS PERMANENTES</v>
      </c>
      <c r="K513" s="98" t="str">
        <f t="shared" si="14"/>
        <v>Posgrado</v>
      </c>
      <c r="L513" s="98" t="s">
        <v>394</v>
      </c>
    </row>
    <row r="514" spans="3:12" x14ac:dyDescent="0.25">
      <c r="C514" s="171" t="s">
        <v>58</v>
      </c>
      <c r="D514" s="163"/>
      <c r="E514" s="154">
        <v>0</v>
      </c>
      <c r="F514" s="100">
        <f>IF(E513=0,"",(G513/E513)/12*E513)</f>
        <v>0</v>
      </c>
      <c r="G514" s="97">
        <f>F514</f>
        <v>0</v>
      </c>
      <c r="H514" s="164"/>
      <c r="I514" s="116" t="s">
        <v>515</v>
      </c>
      <c r="J514" s="116" t="str">
        <f>VLOOKUP(I514,Presupuesto!$B$11:$C$565,2,0)</f>
        <v>AGUINALDO Y DECIMO CUARTO MES</v>
      </c>
      <c r="K514" s="98" t="str">
        <f t="shared" si="14"/>
        <v>Posgrado</v>
      </c>
      <c r="L514" s="98" t="s">
        <v>394</v>
      </c>
    </row>
    <row r="515" spans="3:12" ht="15.75" thickBot="1" x14ac:dyDescent="0.3">
      <c r="C515" s="172" t="s">
        <v>59</v>
      </c>
      <c r="D515" s="163"/>
      <c r="E515" s="154">
        <v>0</v>
      </c>
      <c r="F515" s="117">
        <f>IF(E513&lt;6,"",((E513-6)/12)*(G513/E513))</f>
        <v>0</v>
      </c>
      <c r="G515" s="97">
        <f>F515</f>
        <v>0</v>
      </c>
      <c r="H515" s="164"/>
      <c r="I515" s="101" t="s">
        <v>518</v>
      </c>
      <c r="J515" s="101" t="str">
        <f>VLOOKUP(I515,Presupuesto!$B$11:$C$565,2,0)</f>
        <v>DECIMOCUARTO MES</v>
      </c>
      <c r="K515" s="98" t="str">
        <f t="shared" si="14"/>
        <v>Posgrado</v>
      </c>
      <c r="L515" s="98" t="s">
        <v>394</v>
      </c>
    </row>
    <row r="516" spans="3:12" ht="15.75" thickBot="1" x14ac:dyDescent="0.3">
      <c r="C516" s="137" t="s">
        <v>484</v>
      </c>
      <c r="D516" s="199"/>
      <c r="E516" s="152">
        <v>12</v>
      </c>
      <c r="F516" s="303">
        <f>HLOOKUP($C516,$BZ$2:$CM$3,2,0)</f>
        <v>31763.19</v>
      </c>
      <c r="G516" s="113">
        <f>D516*E516*F516</f>
        <v>0</v>
      </c>
      <c r="H516" s="166"/>
      <c r="I516" s="114" t="s">
        <v>495</v>
      </c>
      <c r="J516" s="114" t="str">
        <f>VLOOKUP(I516,Presupuesto!$B$11:$C$565,2,0)</f>
        <v>SUELDOS Y SALARIOS PERMANENTES</v>
      </c>
      <c r="K516" s="98" t="str">
        <f t="shared" si="14"/>
        <v>Posgrado</v>
      </c>
      <c r="L516" s="98" t="s">
        <v>394</v>
      </c>
    </row>
    <row r="517" spans="3:12" x14ac:dyDescent="0.25">
      <c r="C517" s="171" t="s">
        <v>58</v>
      </c>
      <c r="D517" s="163"/>
      <c r="E517" s="154">
        <v>0</v>
      </c>
      <c r="F517" s="100">
        <f>IF(E516=0,"",(G516/E516)/12*E516)</f>
        <v>0</v>
      </c>
      <c r="G517" s="97">
        <f>F517</f>
        <v>0</v>
      </c>
      <c r="H517" s="164"/>
      <c r="I517" s="116" t="s">
        <v>515</v>
      </c>
      <c r="J517" s="116" t="str">
        <f>VLOOKUP(I517,Presupuesto!$B$11:$C$565,2,0)</f>
        <v>AGUINALDO Y DECIMO CUARTO MES</v>
      </c>
      <c r="K517" s="98" t="str">
        <f t="shared" si="14"/>
        <v>Posgrado</v>
      </c>
      <c r="L517" s="98" t="s">
        <v>394</v>
      </c>
    </row>
    <row r="518" spans="3:12" ht="15.75" thickBot="1" x14ac:dyDescent="0.3">
      <c r="C518" s="172" t="s">
        <v>59</v>
      </c>
      <c r="D518" s="163"/>
      <c r="E518" s="154">
        <v>0</v>
      </c>
      <c r="F518" s="117">
        <f>IF(E516&lt;6,"",((E516-6)/12)*(G516/E516))</f>
        <v>0</v>
      </c>
      <c r="G518" s="97">
        <f>F518</f>
        <v>0</v>
      </c>
      <c r="H518" s="164"/>
      <c r="I518" s="101" t="s">
        <v>518</v>
      </c>
      <c r="J518" s="101" t="str">
        <f>VLOOKUP(I518,Presupuesto!$B$11:$C$565,2,0)</f>
        <v>DECIMOCUARTO MES</v>
      </c>
      <c r="K518" s="98" t="str">
        <f t="shared" si="14"/>
        <v>Posgrado</v>
      </c>
      <c r="L518" s="98" t="s">
        <v>394</v>
      </c>
    </row>
    <row r="519" spans="3:12" ht="15.75" thickBot="1" x14ac:dyDescent="0.3">
      <c r="C519" s="137" t="s">
        <v>485</v>
      </c>
      <c r="D519" s="199"/>
      <c r="E519" s="152">
        <v>12</v>
      </c>
      <c r="F519" s="303">
        <f>HLOOKUP($C519,$BZ$2:$CM$3,2,0)</f>
        <v>29777.99</v>
      </c>
      <c r="G519" s="113">
        <f>D519*E519*F519</f>
        <v>0</v>
      </c>
      <c r="H519" s="166"/>
      <c r="I519" s="114" t="s">
        <v>495</v>
      </c>
      <c r="J519" s="114" t="str">
        <f>VLOOKUP(I519,Presupuesto!$B$11:$C$565,2,0)</f>
        <v>SUELDOS Y SALARIOS PERMANENTES</v>
      </c>
      <c r="K519" s="98" t="str">
        <f t="shared" si="14"/>
        <v>Posgrado</v>
      </c>
      <c r="L519" s="98" t="s">
        <v>394</v>
      </c>
    </row>
    <row r="520" spans="3:12" x14ac:dyDescent="0.25">
      <c r="C520" s="171" t="s">
        <v>58</v>
      </c>
      <c r="D520" s="163"/>
      <c r="E520" s="154">
        <v>0</v>
      </c>
      <c r="F520" s="100">
        <f>IF(E519=0,"",(G519/E519)/12*E519)</f>
        <v>0</v>
      </c>
      <c r="G520" s="97">
        <f>F520</f>
        <v>0</v>
      </c>
      <c r="H520" s="164"/>
      <c r="I520" s="116" t="s">
        <v>515</v>
      </c>
      <c r="J520" s="116" t="str">
        <f>VLOOKUP(I520,Presupuesto!$B$11:$C$565,2,0)</f>
        <v>AGUINALDO Y DECIMO CUARTO MES</v>
      </c>
      <c r="K520" s="98" t="str">
        <f t="shared" si="14"/>
        <v>Posgrado</v>
      </c>
      <c r="L520" s="98" t="s">
        <v>394</v>
      </c>
    </row>
    <row r="521" spans="3:12" ht="15.75" thickBot="1" x14ac:dyDescent="0.3">
      <c r="C521" s="172" t="s">
        <v>59</v>
      </c>
      <c r="D521" s="163"/>
      <c r="E521" s="154">
        <v>0</v>
      </c>
      <c r="F521" s="117">
        <f>IF(E519&lt;6,"",((E519-6)/12)*(G519/E519))</f>
        <v>0</v>
      </c>
      <c r="G521" s="97">
        <f>F521</f>
        <v>0</v>
      </c>
      <c r="H521" s="164"/>
      <c r="I521" s="101" t="s">
        <v>518</v>
      </c>
      <c r="J521" s="101" t="str">
        <f>VLOOKUP(I521,Presupuesto!$B$11:$C$565,2,0)</f>
        <v>DECIMOCUARTO MES</v>
      </c>
      <c r="K521" s="98" t="str">
        <f t="shared" si="14"/>
        <v>Posgrado</v>
      </c>
      <c r="L521" s="98" t="s">
        <v>394</v>
      </c>
    </row>
    <row r="522" spans="3:12" ht="15.75" thickBot="1" x14ac:dyDescent="0.3">
      <c r="C522" s="137" t="s">
        <v>486</v>
      </c>
      <c r="D522" s="199"/>
      <c r="E522" s="152">
        <v>12</v>
      </c>
      <c r="F522" s="303">
        <f>HLOOKUP($C522,$BZ$2:$CM$3,2,0)</f>
        <v>27792.79</v>
      </c>
      <c r="G522" s="113">
        <f>D522*E522*F522</f>
        <v>0</v>
      </c>
      <c r="H522" s="166"/>
      <c r="I522" s="114" t="s">
        <v>495</v>
      </c>
      <c r="J522" s="114" t="str">
        <f>VLOOKUP(I522,Presupuesto!$B$11:$C$565,2,0)</f>
        <v>SUELDOS Y SALARIOS PERMANENTES</v>
      </c>
      <c r="K522" s="98" t="str">
        <f t="shared" si="14"/>
        <v>Posgrado</v>
      </c>
      <c r="L522" s="98" t="s">
        <v>394</v>
      </c>
    </row>
    <row r="523" spans="3:12" x14ac:dyDescent="0.25">
      <c r="C523" s="171" t="s">
        <v>58</v>
      </c>
      <c r="D523" s="163"/>
      <c r="E523" s="154">
        <v>0</v>
      </c>
      <c r="F523" s="100">
        <f>IF(E522=0,"",(G522/E522)/12*E522)</f>
        <v>0</v>
      </c>
      <c r="G523" s="97">
        <f>F523</f>
        <v>0</v>
      </c>
      <c r="H523" s="164"/>
      <c r="I523" s="116" t="s">
        <v>515</v>
      </c>
      <c r="J523" s="116" t="str">
        <f>VLOOKUP(I523,Presupuesto!$B$11:$C$565,2,0)</f>
        <v>AGUINALDO Y DECIMO CUARTO MES</v>
      </c>
      <c r="K523" s="98" t="str">
        <f t="shared" si="14"/>
        <v>Posgrado</v>
      </c>
      <c r="L523" s="98" t="s">
        <v>394</v>
      </c>
    </row>
    <row r="524" spans="3:12" ht="15.75" thickBot="1" x14ac:dyDescent="0.3">
      <c r="C524" s="172" t="s">
        <v>59</v>
      </c>
      <c r="D524" s="163"/>
      <c r="E524" s="154">
        <v>0</v>
      </c>
      <c r="F524" s="117">
        <f>IF(E522&lt;6,"",((E522-6)/12)*(G522/E522))</f>
        <v>0</v>
      </c>
      <c r="G524" s="97">
        <f>F524</f>
        <v>0</v>
      </c>
      <c r="H524" s="164"/>
      <c r="I524" s="101" t="s">
        <v>518</v>
      </c>
      <c r="J524" s="101" t="str">
        <f>VLOOKUP(I524,Presupuesto!$B$11:$C$565,2,0)</f>
        <v>DECIMOCUARTO MES</v>
      </c>
      <c r="K524" s="98" t="str">
        <f t="shared" si="14"/>
        <v>Posgrado</v>
      </c>
      <c r="L524" s="98" t="s">
        <v>394</v>
      </c>
    </row>
    <row r="525" spans="3:12" ht="15.75" thickBot="1" x14ac:dyDescent="0.3">
      <c r="C525" s="137" t="s">
        <v>487</v>
      </c>
      <c r="D525" s="199"/>
      <c r="E525" s="152">
        <v>12</v>
      </c>
      <c r="F525" s="303">
        <f>HLOOKUP($C525,$BZ$2:$CM$3,2,0)</f>
        <v>18859.39</v>
      </c>
      <c r="G525" s="113">
        <f>D525*E525*F525</f>
        <v>0</v>
      </c>
      <c r="H525" s="166"/>
      <c r="I525" s="114" t="s">
        <v>495</v>
      </c>
      <c r="J525" s="114" t="str">
        <f>VLOOKUP(I525,Presupuesto!$B$11:$C$565,2,0)</f>
        <v>SUELDOS Y SALARIOS PERMANENTES</v>
      </c>
      <c r="K525" s="98" t="str">
        <f t="shared" si="14"/>
        <v>Posgrado</v>
      </c>
      <c r="L525" s="98" t="s">
        <v>394</v>
      </c>
    </row>
    <row r="526" spans="3:12" x14ac:dyDescent="0.25">
      <c r="C526" s="171" t="s">
        <v>58</v>
      </c>
      <c r="D526" s="163"/>
      <c r="E526" s="154">
        <v>0</v>
      </c>
      <c r="F526" s="100">
        <f>IF(E525=0,"",(G525/E525)/12*E525)</f>
        <v>0</v>
      </c>
      <c r="G526" s="97">
        <f>F526</f>
        <v>0</v>
      </c>
      <c r="H526" s="164"/>
      <c r="I526" s="116" t="s">
        <v>515</v>
      </c>
      <c r="J526" s="116" t="str">
        <f>VLOOKUP(I526,Presupuesto!$B$11:$C$565,2,0)</f>
        <v>AGUINALDO Y DECIMO CUARTO MES</v>
      </c>
      <c r="K526" s="98" t="str">
        <f t="shared" si="14"/>
        <v>Posgrado</v>
      </c>
      <c r="L526" s="98" t="s">
        <v>394</v>
      </c>
    </row>
    <row r="527" spans="3:12" ht="15.75" thickBot="1" x14ac:dyDescent="0.3">
      <c r="C527" s="172" t="s">
        <v>59</v>
      </c>
      <c r="D527" s="163"/>
      <c r="E527" s="154">
        <v>0</v>
      </c>
      <c r="F527" s="117">
        <f>IF(E525&lt;6,"",((E525-6)/12)*(G525/E525))</f>
        <v>0</v>
      </c>
      <c r="G527" s="97">
        <f>F527</f>
        <v>0</v>
      </c>
      <c r="H527" s="164"/>
      <c r="I527" s="101" t="s">
        <v>518</v>
      </c>
      <c r="J527" s="101" t="str">
        <f>VLOOKUP(I527,Presupuesto!$B$11:$C$565,2,0)</f>
        <v>DECIMOCUARTO MES</v>
      </c>
      <c r="K527" s="98" t="str">
        <f t="shared" si="14"/>
        <v>Posgrado</v>
      </c>
      <c r="L527" s="98" t="s">
        <v>394</v>
      </c>
    </row>
    <row r="528" spans="3:12" ht="15.75" thickBot="1" x14ac:dyDescent="0.3">
      <c r="C528" s="137" t="s">
        <v>488</v>
      </c>
      <c r="D528" s="199"/>
      <c r="E528" s="152">
        <v>12</v>
      </c>
      <c r="F528" s="303">
        <f>HLOOKUP($C528,$BZ$2:$CM$3,2,0)</f>
        <v>17866.8</v>
      </c>
      <c r="G528" s="113">
        <f>D528*E528*F528</f>
        <v>0</v>
      </c>
      <c r="H528" s="166"/>
      <c r="I528" s="114" t="s">
        <v>495</v>
      </c>
      <c r="J528" s="114" t="str">
        <f>VLOOKUP(I528,Presupuesto!$B$11:$C$565,2,0)</f>
        <v>SUELDOS Y SALARIOS PERMANENTES</v>
      </c>
      <c r="K528" s="98" t="str">
        <f t="shared" si="14"/>
        <v>Posgrado</v>
      </c>
      <c r="L528" s="98" t="s">
        <v>394</v>
      </c>
    </row>
    <row r="529" spans="3:12" x14ac:dyDescent="0.25">
      <c r="C529" s="171" t="s">
        <v>58</v>
      </c>
      <c r="D529" s="163"/>
      <c r="E529" s="154">
        <v>0</v>
      </c>
      <c r="F529" s="100">
        <f>IF(E528=0,"",(G528/E528)/12*E528)</f>
        <v>0</v>
      </c>
      <c r="G529" s="97">
        <f>F529</f>
        <v>0</v>
      </c>
      <c r="H529" s="164"/>
      <c r="I529" s="116" t="s">
        <v>515</v>
      </c>
      <c r="J529" s="116" t="str">
        <f>VLOOKUP(I529,Presupuesto!$B$11:$C$565,2,0)</f>
        <v>AGUINALDO Y DECIMO CUARTO MES</v>
      </c>
      <c r="K529" s="98" t="str">
        <f t="shared" si="14"/>
        <v>Posgrado</v>
      </c>
      <c r="L529" s="98" t="s">
        <v>394</v>
      </c>
    </row>
    <row r="530" spans="3:12" ht="15.75" thickBot="1" x14ac:dyDescent="0.3">
      <c r="C530" s="172" t="s">
        <v>59</v>
      </c>
      <c r="D530" s="163"/>
      <c r="E530" s="154">
        <v>0</v>
      </c>
      <c r="F530" s="117">
        <f>IF(E528&lt;6,"",((E528-6)/12)*(G528/E528))</f>
        <v>0</v>
      </c>
      <c r="G530" s="97">
        <f>F530</f>
        <v>0</v>
      </c>
      <c r="H530" s="164"/>
      <c r="I530" s="101" t="s">
        <v>518</v>
      </c>
      <c r="J530" s="101" t="str">
        <f>VLOOKUP(I530,Presupuesto!$B$11:$C$565,2,0)</f>
        <v>DECIMOCUARTO MES</v>
      </c>
      <c r="K530" s="98" t="str">
        <f t="shared" si="14"/>
        <v>Posgrado</v>
      </c>
      <c r="L530" s="98" t="s">
        <v>394</v>
      </c>
    </row>
    <row r="531" spans="3:12" ht="15.75" thickBot="1" x14ac:dyDescent="0.3">
      <c r="C531" s="137" t="s">
        <v>489</v>
      </c>
      <c r="D531" s="199"/>
      <c r="E531" s="152">
        <v>12</v>
      </c>
      <c r="F531" s="303">
        <f>HLOOKUP($C531,$BZ$2:$CM$3,2,0)</f>
        <v>13896.4</v>
      </c>
      <c r="G531" s="113">
        <f>D531*E531*F531</f>
        <v>0</v>
      </c>
      <c r="H531" s="166"/>
      <c r="I531" s="114" t="s">
        <v>495</v>
      </c>
      <c r="J531" s="114" t="str">
        <f>VLOOKUP(I531,Presupuesto!$B$11:$C$565,2,0)</f>
        <v>SUELDOS Y SALARIOS PERMANENTES</v>
      </c>
      <c r="K531" s="98" t="str">
        <f t="shared" si="14"/>
        <v>Posgrado</v>
      </c>
      <c r="L531" s="98" t="s">
        <v>394</v>
      </c>
    </row>
    <row r="532" spans="3:12" x14ac:dyDescent="0.25">
      <c r="C532" s="171" t="s">
        <v>58</v>
      </c>
      <c r="D532" s="163"/>
      <c r="E532" s="154">
        <v>0</v>
      </c>
      <c r="F532" s="100">
        <f>IF(E531=0,"",(G531/E531)/12*E531)</f>
        <v>0</v>
      </c>
      <c r="G532" s="97">
        <f>F532</f>
        <v>0</v>
      </c>
      <c r="H532" s="164"/>
      <c r="I532" s="116" t="s">
        <v>515</v>
      </c>
      <c r="J532" s="116" t="str">
        <f>VLOOKUP(I532,Presupuesto!$B$11:$C$565,2,0)</f>
        <v>AGUINALDO Y DECIMO CUARTO MES</v>
      </c>
      <c r="K532" s="98" t="str">
        <f t="shared" si="14"/>
        <v>Posgrado</v>
      </c>
      <c r="L532" s="98" t="s">
        <v>394</v>
      </c>
    </row>
    <row r="533" spans="3:12" ht="15.75" thickBot="1" x14ac:dyDescent="0.3">
      <c r="C533" s="172" t="s">
        <v>59</v>
      </c>
      <c r="D533" s="163"/>
      <c r="E533" s="154">
        <v>0</v>
      </c>
      <c r="F533" s="117">
        <f>IF(E531&lt;6,"",((E531-6)/12)*(G531/E531))</f>
        <v>0</v>
      </c>
      <c r="G533" s="97">
        <f>F533</f>
        <v>0</v>
      </c>
      <c r="H533" s="164"/>
      <c r="I533" s="101" t="s">
        <v>518</v>
      </c>
      <c r="J533" s="101" t="str">
        <f>VLOOKUP(I533,Presupuesto!$B$11:$C$565,2,0)</f>
        <v>DECIMOCUARTO MES</v>
      </c>
      <c r="K533" s="98" t="str">
        <f t="shared" si="14"/>
        <v>Posgrado</v>
      </c>
      <c r="L533" s="98" t="s">
        <v>394</v>
      </c>
    </row>
    <row r="534" spans="3:12" ht="15.75" thickBot="1" x14ac:dyDescent="0.3">
      <c r="C534" s="137" t="s">
        <v>490</v>
      </c>
      <c r="D534" s="199"/>
      <c r="E534" s="152">
        <v>12</v>
      </c>
      <c r="F534" s="303">
        <f>HLOOKUP($C534,$BZ$2:$CM$3,2,0)</f>
        <v>15004.09</v>
      </c>
      <c r="G534" s="113">
        <f>D534*E534*F534</f>
        <v>0</v>
      </c>
      <c r="H534" s="166"/>
      <c r="I534" s="114" t="s">
        <v>495</v>
      </c>
      <c r="J534" s="114" t="str">
        <f>VLOOKUP(I534,Presupuesto!$B$11:$C$565,2,0)</f>
        <v>SUELDOS Y SALARIOS PERMANENTES</v>
      </c>
      <c r="K534" s="98" t="str">
        <f t="shared" si="14"/>
        <v>Posgrado</v>
      </c>
      <c r="L534" s="98" t="s">
        <v>394</v>
      </c>
    </row>
    <row r="535" spans="3:12" x14ac:dyDescent="0.25">
      <c r="C535" s="171" t="s">
        <v>58</v>
      </c>
      <c r="D535" s="163"/>
      <c r="E535" s="154">
        <v>0</v>
      </c>
      <c r="F535" s="100">
        <f>IF(E534=0,"",(G534/E534)/12*E534)</f>
        <v>0</v>
      </c>
      <c r="G535" s="97">
        <f>F535</f>
        <v>0</v>
      </c>
      <c r="H535" s="164"/>
      <c r="I535" s="116" t="s">
        <v>515</v>
      </c>
      <c r="J535" s="116" t="str">
        <f>VLOOKUP(I535,Presupuesto!$B$11:$C$565,2,0)</f>
        <v>AGUINALDO Y DECIMO CUARTO MES</v>
      </c>
      <c r="K535" s="98" t="str">
        <f t="shared" si="14"/>
        <v>Posgrado</v>
      </c>
      <c r="L535" s="98" t="s">
        <v>394</v>
      </c>
    </row>
    <row r="536" spans="3:12" ht="15.75" thickBot="1" x14ac:dyDescent="0.3">
      <c r="C536" s="172" t="s">
        <v>59</v>
      </c>
      <c r="D536" s="163"/>
      <c r="E536" s="154">
        <v>0</v>
      </c>
      <c r="F536" s="117">
        <f>IF(E534&lt;6,"",((E534-6)/12)*(G534/E534))</f>
        <v>0</v>
      </c>
      <c r="G536" s="97">
        <f>F536</f>
        <v>0</v>
      </c>
      <c r="H536" s="164"/>
      <c r="I536" s="101" t="s">
        <v>518</v>
      </c>
      <c r="J536" s="101" t="str">
        <f>VLOOKUP(I536,Presupuesto!$B$11:$C$565,2,0)</f>
        <v>DECIMOCUARTO MES</v>
      </c>
      <c r="K536" s="98" t="str">
        <f t="shared" si="14"/>
        <v>Posgrado</v>
      </c>
      <c r="L536" s="98" t="s">
        <v>394</v>
      </c>
    </row>
    <row r="537" spans="3:12" ht="15.75" thickBot="1" x14ac:dyDescent="0.3">
      <c r="C537" s="137" t="s">
        <v>491</v>
      </c>
      <c r="D537" s="199"/>
      <c r="E537" s="152">
        <v>12</v>
      </c>
      <c r="F537" s="303">
        <f>HLOOKUP($C537,$BZ$2:$CM$3,2,0)</f>
        <v>13238.9</v>
      </c>
      <c r="G537" s="113">
        <f>D537*E537*F537</f>
        <v>0</v>
      </c>
      <c r="H537" s="166"/>
      <c r="I537" s="114" t="s">
        <v>495</v>
      </c>
      <c r="J537" s="114" t="str">
        <f>VLOOKUP(I537,Presupuesto!$B$11:$C$565,2,0)</f>
        <v>SUELDOS Y SALARIOS PERMANENTES</v>
      </c>
      <c r="K537" s="98" t="str">
        <f t="shared" si="14"/>
        <v>Posgrado</v>
      </c>
      <c r="L537" s="98" t="s">
        <v>394</v>
      </c>
    </row>
    <row r="538" spans="3:12" x14ac:dyDescent="0.25">
      <c r="C538" s="171" t="s">
        <v>58</v>
      </c>
      <c r="D538" s="163"/>
      <c r="E538" s="154">
        <v>0</v>
      </c>
      <c r="F538" s="100">
        <f>IF(E537=0,"",(G537/E537)/12*E537)</f>
        <v>0</v>
      </c>
      <c r="G538" s="97">
        <f>F538</f>
        <v>0</v>
      </c>
      <c r="H538" s="164"/>
      <c r="I538" s="116" t="s">
        <v>515</v>
      </c>
      <c r="J538" s="116" t="str">
        <f>VLOOKUP(I538,Presupuesto!$B$11:$C$565,2,0)</f>
        <v>AGUINALDO Y DECIMO CUARTO MES</v>
      </c>
      <c r="K538" s="98" t="str">
        <f t="shared" si="14"/>
        <v>Posgrado</v>
      </c>
      <c r="L538" s="98" t="s">
        <v>394</v>
      </c>
    </row>
    <row r="539" spans="3:12" ht="15.75" thickBot="1" x14ac:dyDescent="0.3">
      <c r="C539" s="172" t="s">
        <v>59</v>
      </c>
      <c r="D539" s="163"/>
      <c r="E539" s="154">
        <v>0</v>
      </c>
      <c r="F539" s="117">
        <f>IF(E537&lt;6,"",((E537-6)/12)*(G537/E537))</f>
        <v>0</v>
      </c>
      <c r="G539" s="97">
        <f>F539</f>
        <v>0</v>
      </c>
      <c r="H539" s="164"/>
      <c r="I539" s="101" t="s">
        <v>518</v>
      </c>
      <c r="J539" s="101" t="str">
        <f>VLOOKUP(I539,Presupuesto!$B$11:$C$565,2,0)</f>
        <v>DECIMOCUARTO MES</v>
      </c>
      <c r="K539" s="98" t="str">
        <f t="shared" si="14"/>
        <v>Posgrado</v>
      </c>
      <c r="L539" s="98" t="s">
        <v>394</v>
      </c>
    </row>
    <row r="540" spans="3:12" ht="15.75" thickBot="1" x14ac:dyDescent="0.3">
      <c r="C540" s="137" t="s">
        <v>492</v>
      </c>
      <c r="D540" s="199"/>
      <c r="E540" s="152">
        <v>12</v>
      </c>
      <c r="F540" s="303">
        <f>HLOOKUP($C540,$BZ$2:$CM$3,2,0)</f>
        <v>12356.31</v>
      </c>
      <c r="G540" s="113">
        <f>D540*E540*F540</f>
        <v>0</v>
      </c>
      <c r="H540" s="166"/>
      <c r="I540" s="114" t="s">
        <v>495</v>
      </c>
      <c r="J540" s="114" t="str">
        <f>VLOOKUP(I540,Presupuesto!$B$11:$C$565,2,0)</f>
        <v>SUELDOS Y SALARIOS PERMANENTES</v>
      </c>
      <c r="K540" s="98" t="str">
        <f t="shared" ref="K540:K557" si="15">$K$507</f>
        <v>Posgrado</v>
      </c>
      <c r="L540" s="98" t="s">
        <v>394</v>
      </c>
    </row>
    <row r="541" spans="3:12" x14ac:dyDescent="0.25">
      <c r="C541" s="171" t="s">
        <v>58</v>
      </c>
      <c r="D541" s="163"/>
      <c r="E541" s="154">
        <v>0</v>
      </c>
      <c r="F541" s="100">
        <f>IF(E540=0,"",(G540/E540)/12*E540)</f>
        <v>0</v>
      </c>
      <c r="G541" s="97">
        <f>F541</f>
        <v>0</v>
      </c>
      <c r="H541" s="164"/>
      <c r="I541" s="116" t="s">
        <v>515</v>
      </c>
      <c r="J541" s="116" t="str">
        <f>VLOOKUP(I541,Presupuesto!$B$11:$C$565,2,0)</f>
        <v>AGUINALDO Y DECIMO CUARTO MES</v>
      </c>
      <c r="K541" s="98" t="str">
        <f t="shared" si="15"/>
        <v>Posgrado</v>
      </c>
      <c r="L541" s="98" t="s">
        <v>394</v>
      </c>
    </row>
    <row r="542" spans="3:12" ht="15.75" thickBot="1" x14ac:dyDescent="0.3">
      <c r="C542" s="172" t="s">
        <v>59</v>
      </c>
      <c r="D542" s="163"/>
      <c r="E542" s="154">
        <v>0</v>
      </c>
      <c r="F542" s="117">
        <f>IF(E540&lt;6,"",((E540-6)/12)*(G540/E540))</f>
        <v>0</v>
      </c>
      <c r="G542" s="97">
        <f>F542</f>
        <v>0</v>
      </c>
      <c r="H542" s="164"/>
      <c r="I542" s="101" t="s">
        <v>518</v>
      </c>
      <c r="J542" s="101" t="str">
        <f>VLOOKUP(I542,Presupuesto!$B$11:$C$565,2,0)</f>
        <v>DECIMOCUARTO MES</v>
      </c>
      <c r="K542" s="98" t="str">
        <f t="shared" si="15"/>
        <v>Posgrado</v>
      </c>
      <c r="L542" s="98" t="s">
        <v>394</v>
      </c>
    </row>
    <row r="543" spans="3:12" ht="15.75" thickBot="1" x14ac:dyDescent="0.3">
      <c r="C543" s="137" t="s">
        <v>493</v>
      </c>
      <c r="D543" s="199"/>
      <c r="E543" s="152">
        <v>12</v>
      </c>
      <c r="F543" s="303">
        <f>HLOOKUP($C543,$BZ$2:$CM$3,2,0)</f>
        <v>463.22</v>
      </c>
      <c r="G543" s="113">
        <f>D543*E543*F543</f>
        <v>0</v>
      </c>
      <c r="H543" s="166"/>
      <c r="I543" s="114" t="s">
        <v>495</v>
      </c>
      <c r="J543" s="114" t="str">
        <f>VLOOKUP(I543,Presupuesto!$B$11:$C$565,2,0)</f>
        <v>SUELDOS Y SALARIOS PERMANENTES</v>
      </c>
      <c r="K543" s="98" t="str">
        <f t="shared" si="15"/>
        <v>Posgrado</v>
      </c>
      <c r="L543" s="98" t="s">
        <v>394</v>
      </c>
    </row>
    <row r="544" spans="3:12" x14ac:dyDescent="0.25">
      <c r="C544" s="171" t="s">
        <v>58</v>
      </c>
      <c r="D544" s="163"/>
      <c r="E544" s="154">
        <v>0</v>
      </c>
      <c r="F544" s="100">
        <f>IF(E543=0,"",(G543/E543)/12*E543)</f>
        <v>0</v>
      </c>
      <c r="G544" s="97">
        <f>F544</f>
        <v>0</v>
      </c>
      <c r="H544" s="164"/>
      <c r="I544" s="116" t="s">
        <v>515</v>
      </c>
      <c r="J544" s="116" t="str">
        <f>VLOOKUP(I544,Presupuesto!$B$11:$C$565,2,0)</f>
        <v>AGUINALDO Y DECIMO CUARTO MES</v>
      </c>
      <c r="K544" s="98" t="str">
        <f t="shared" si="15"/>
        <v>Posgrado</v>
      </c>
      <c r="L544" s="98" t="s">
        <v>394</v>
      </c>
    </row>
    <row r="545" spans="3:12" ht="15.75" thickBot="1" x14ac:dyDescent="0.3">
      <c r="C545" s="172" t="s">
        <v>59</v>
      </c>
      <c r="D545" s="163"/>
      <c r="E545" s="154">
        <v>0</v>
      </c>
      <c r="F545" s="117">
        <f>IF(E543&lt;6,"",((E543-6)/12)*(G543/E543))</f>
        <v>0</v>
      </c>
      <c r="G545" s="97">
        <f>F545</f>
        <v>0</v>
      </c>
      <c r="H545" s="164"/>
      <c r="I545" s="101" t="s">
        <v>518</v>
      </c>
      <c r="J545" s="101" t="str">
        <f>VLOOKUP(I545,Presupuesto!$B$11:$C$565,2,0)</f>
        <v>DECIMOCUARTO MES</v>
      </c>
      <c r="K545" s="98" t="str">
        <f t="shared" si="15"/>
        <v>Posgrado</v>
      </c>
      <c r="L545" s="98" t="s">
        <v>394</v>
      </c>
    </row>
    <row r="546" spans="3:12" ht="15.75" thickBot="1" x14ac:dyDescent="0.3">
      <c r="C546" s="137" t="s">
        <v>494</v>
      </c>
      <c r="D546" s="199"/>
      <c r="E546" s="152">
        <v>12</v>
      </c>
      <c r="F546" s="303">
        <f>HLOOKUP($C546,$BZ$2:$CM$3,2,0)</f>
        <v>2007.3</v>
      </c>
      <c r="G546" s="113">
        <f>D546*E546*F546</f>
        <v>0</v>
      </c>
      <c r="H546" s="166"/>
      <c r="I546" s="114" t="s">
        <v>495</v>
      </c>
      <c r="J546" s="114" t="str">
        <f>VLOOKUP(I546,Presupuesto!$B$11:$C$565,2,0)</f>
        <v>SUELDOS Y SALARIOS PERMANENTES</v>
      </c>
      <c r="K546" s="98" t="str">
        <f t="shared" si="15"/>
        <v>Posgrado</v>
      </c>
      <c r="L546" s="98" t="s">
        <v>394</v>
      </c>
    </row>
    <row r="547" spans="3:12" x14ac:dyDescent="0.25">
      <c r="C547" s="171" t="s">
        <v>58</v>
      </c>
      <c r="D547" s="163"/>
      <c r="E547" s="154">
        <v>0</v>
      </c>
      <c r="F547" s="100">
        <f>IF(E546=0,"",(G546/E546)/12*E546)</f>
        <v>0</v>
      </c>
      <c r="G547" s="97">
        <f>F547</f>
        <v>0</v>
      </c>
      <c r="H547" s="164"/>
      <c r="I547" s="116" t="s">
        <v>515</v>
      </c>
      <c r="J547" s="116" t="str">
        <f>VLOOKUP(I547,Presupuesto!$B$11:$C$565,2,0)</f>
        <v>AGUINALDO Y DECIMO CUARTO MES</v>
      </c>
      <c r="K547" s="98" t="str">
        <f t="shared" si="15"/>
        <v>Posgrado</v>
      </c>
      <c r="L547" s="98" t="s">
        <v>394</v>
      </c>
    </row>
    <row r="548" spans="3:12" ht="15.75" thickBot="1" x14ac:dyDescent="0.3">
      <c r="C548" s="172" t="s">
        <v>59</v>
      </c>
      <c r="D548" s="163"/>
      <c r="E548" s="154">
        <v>0</v>
      </c>
      <c r="F548" s="117">
        <f>IF(E546&lt;6,"",((E546-6)/12)*(G546/E546))</f>
        <v>0</v>
      </c>
      <c r="G548" s="97">
        <f>F548</f>
        <v>0</v>
      </c>
      <c r="H548" s="164"/>
      <c r="I548" s="101" t="s">
        <v>518</v>
      </c>
      <c r="J548" s="101" t="str">
        <f>VLOOKUP(I548,Presupuesto!$B$11:$C$565,2,0)</f>
        <v>DECIMOCUARTO MES</v>
      </c>
      <c r="K548" s="98" t="str">
        <f t="shared" si="15"/>
        <v>Posgrado</v>
      </c>
      <c r="L548" s="98" t="s">
        <v>394</v>
      </c>
    </row>
    <row r="549" spans="3:12" ht="15.75" thickBot="1" x14ac:dyDescent="0.3">
      <c r="C549" s="140" t="s">
        <v>83</v>
      </c>
      <c r="D549" s="199"/>
      <c r="E549" s="152">
        <v>12</v>
      </c>
      <c r="F549" s="139">
        <v>30000</v>
      </c>
      <c r="G549" s="113">
        <f>D549*E549*F549</f>
        <v>0</v>
      </c>
      <c r="H549" s="166"/>
      <c r="I549" s="114" t="s">
        <v>563</v>
      </c>
      <c r="J549" s="114" t="str">
        <f>VLOOKUP(I549,Presupuesto!$B$11:$C$565,2,0)</f>
        <v>CONTRATOS ESPECIALES</v>
      </c>
      <c r="K549" s="98" t="str">
        <f t="shared" si="15"/>
        <v>Posgrado</v>
      </c>
      <c r="L549" s="98" t="s">
        <v>394</v>
      </c>
    </row>
    <row r="550" spans="3:12" x14ac:dyDescent="0.25">
      <c r="C550" s="171" t="s">
        <v>58</v>
      </c>
      <c r="D550" s="163"/>
      <c r="E550" s="154">
        <v>0</v>
      </c>
      <c r="F550" s="117">
        <f>IF(E549=0,"",(G549/E549)/12*E549)</f>
        <v>0</v>
      </c>
      <c r="G550" s="97">
        <f>F550</f>
        <v>0</v>
      </c>
      <c r="H550" s="164"/>
      <c r="I550" s="101" t="s">
        <v>563</v>
      </c>
      <c r="J550" s="101" t="str">
        <f>VLOOKUP(I550,Presupuesto!$B$11:$C$565,2,0)</f>
        <v>CONTRATOS ESPECIALES</v>
      </c>
      <c r="K550" s="98" t="str">
        <f t="shared" si="15"/>
        <v>Posgrado</v>
      </c>
      <c r="L550" s="98" t="s">
        <v>393</v>
      </c>
    </row>
    <row r="551" spans="3:12" ht="15.75" thickBot="1" x14ac:dyDescent="0.3">
      <c r="C551" s="172" t="s">
        <v>59</v>
      </c>
      <c r="D551" s="163"/>
      <c r="E551" s="154">
        <v>0</v>
      </c>
      <c r="F551" s="100">
        <f>IF(E549&lt;6,"",((E549-6)/12)*(G549/E549))</f>
        <v>0</v>
      </c>
      <c r="G551" s="97">
        <f>F551</f>
        <v>0</v>
      </c>
      <c r="H551" s="164"/>
      <c r="I551" s="101" t="s">
        <v>563</v>
      </c>
      <c r="J551" s="101" t="str">
        <f>VLOOKUP(I551,Presupuesto!$B$11:$C$565,2,0)</f>
        <v>CONTRATOS ESPECIALES</v>
      </c>
      <c r="K551" s="98" t="str">
        <f t="shared" si="15"/>
        <v>Posgrado</v>
      </c>
      <c r="L551" s="98" t="s">
        <v>398</v>
      </c>
    </row>
    <row r="552" spans="3:12" ht="15.75" thickBot="1" x14ac:dyDescent="0.3">
      <c r="C552" s="140" t="s">
        <v>60</v>
      </c>
      <c r="D552" s="199"/>
      <c r="E552" s="152">
        <v>12</v>
      </c>
      <c r="F552" s="118">
        <v>30000</v>
      </c>
      <c r="G552" s="113">
        <f>D552*E552*F552</f>
        <v>0</v>
      </c>
      <c r="H552" s="166"/>
      <c r="I552" s="114" t="s">
        <v>704</v>
      </c>
      <c r="J552" s="114" t="str">
        <f>VLOOKUP(I552,Presupuesto!$B$11:$C$565,2,0)</f>
        <v>OTROS SERVICIOS TECNICOS Y PROFESIONALES</v>
      </c>
      <c r="K552" s="98" t="str">
        <f t="shared" si="15"/>
        <v>Posgrado</v>
      </c>
      <c r="L552" s="98" t="s">
        <v>393</v>
      </c>
    </row>
    <row r="553" spans="3:12" x14ac:dyDescent="0.25">
      <c r="C553" s="171" t="s">
        <v>58</v>
      </c>
      <c r="D553" s="163"/>
      <c r="E553" s="154">
        <v>0</v>
      </c>
      <c r="F553" s="100">
        <v>0</v>
      </c>
      <c r="G553" s="97">
        <f>F553</f>
        <v>0</v>
      </c>
      <c r="H553" s="164"/>
      <c r="I553" s="101" t="s">
        <v>704</v>
      </c>
      <c r="J553" s="101" t="str">
        <f>VLOOKUP(I553,Presupuesto!$B$11:$C$565,2,0)</f>
        <v>OTROS SERVICIOS TECNICOS Y PROFESIONALES</v>
      </c>
      <c r="K553" s="98" t="str">
        <f t="shared" si="15"/>
        <v>Posgrado</v>
      </c>
      <c r="L553" s="98" t="s">
        <v>393</v>
      </c>
    </row>
    <row r="554" spans="3:12" ht="15.75" thickBot="1" x14ac:dyDescent="0.3">
      <c r="C554" s="172" t="s">
        <v>59</v>
      </c>
      <c r="D554" s="163"/>
      <c r="E554" s="154">
        <v>0</v>
      </c>
      <c r="F554" s="100">
        <v>0</v>
      </c>
      <c r="G554" s="97">
        <f>F554</f>
        <v>0</v>
      </c>
      <c r="H554" s="164"/>
      <c r="I554" s="101" t="s">
        <v>704</v>
      </c>
      <c r="J554" s="101" t="str">
        <f>VLOOKUP(I554,Presupuesto!$B$11:$C$565,2,0)</f>
        <v>OTROS SERVICIOS TECNICOS Y PROFESIONALES</v>
      </c>
      <c r="K554" s="98" t="str">
        <f t="shared" si="15"/>
        <v>Posgrado</v>
      </c>
      <c r="L554" s="98" t="s">
        <v>393</v>
      </c>
    </row>
    <row r="555" spans="3:12" ht="15.75" thickBot="1" x14ac:dyDescent="0.3">
      <c r="C555" s="140" t="s">
        <v>61</v>
      </c>
      <c r="D555" s="199"/>
      <c r="E555" s="152">
        <v>12</v>
      </c>
      <c r="F555" s="118">
        <v>30000</v>
      </c>
      <c r="G555" s="113">
        <f>D555*E555*F555</f>
        <v>0</v>
      </c>
      <c r="H555" s="166"/>
      <c r="I555" s="114" t="s">
        <v>495</v>
      </c>
      <c r="J555" s="114" t="str">
        <f>VLOOKUP(I555,Presupuesto!$B$11:$C$565,2,0)</f>
        <v>SUELDOS Y SALARIOS PERMANENTES</v>
      </c>
      <c r="K555" s="98" t="str">
        <f t="shared" si="15"/>
        <v>Posgrado</v>
      </c>
      <c r="L555" s="98" t="s">
        <v>393</v>
      </c>
    </row>
    <row r="556" spans="3:12" x14ac:dyDescent="0.25">
      <c r="C556" s="171" t="s">
        <v>58</v>
      </c>
      <c r="D556" s="169"/>
      <c r="E556" s="131">
        <v>0</v>
      </c>
      <c r="F556" s="119">
        <f>IF(E555=0,"",(G555/E555)/12*E555)</f>
        <v>0</v>
      </c>
      <c r="G556" s="120">
        <f>F556</f>
        <v>0</v>
      </c>
      <c r="H556" s="164"/>
      <c r="I556" s="101" t="s">
        <v>515</v>
      </c>
      <c r="J556" s="101" t="str">
        <f>VLOOKUP(I556,Presupuesto!$B$11:$C$565,2,0)</f>
        <v>AGUINALDO Y DECIMO CUARTO MES</v>
      </c>
      <c r="K556" s="98" t="str">
        <f t="shared" si="15"/>
        <v>Posgrado</v>
      </c>
      <c r="L556" s="98" t="s">
        <v>393</v>
      </c>
    </row>
    <row r="557" spans="3:12" ht="15.75" thickBot="1" x14ac:dyDescent="0.3">
      <c r="C557" s="173" t="s">
        <v>59</v>
      </c>
      <c r="D557" s="162"/>
      <c r="E557" s="132">
        <v>0</v>
      </c>
      <c r="F557" s="105">
        <f>IF(E555&lt;6,"",((E555-6)/12)*(G555/E555))</f>
        <v>0</v>
      </c>
      <c r="G557" s="105">
        <f>F557</f>
        <v>0</v>
      </c>
      <c r="H557" s="162"/>
      <c r="I557" s="106" t="s">
        <v>518</v>
      </c>
      <c r="J557" s="124" t="str">
        <f>VLOOKUP(I557,Presupuesto!$B$11:$C$565,2,0)</f>
        <v>DECIMOCUARTO MES</v>
      </c>
      <c r="K557" s="106" t="str">
        <f t="shared" si="15"/>
        <v>Posgrado</v>
      </c>
      <c r="L557" s="124" t="s">
        <v>393</v>
      </c>
    </row>
    <row r="559" spans="3:12" ht="15.75" thickBot="1" x14ac:dyDescent="0.3"/>
    <row r="560" spans="3:12" ht="15.75" thickBot="1" x14ac:dyDescent="0.3">
      <c r="C560" s="69" t="s">
        <v>43</v>
      </c>
      <c r="D560" s="30">
        <f>SUM(G567:G617)</f>
        <v>0</v>
      </c>
      <c r="E560" s="93"/>
      <c r="F560" s="93"/>
      <c r="G560" s="93"/>
      <c r="H560" s="76"/>
      <c r="I560" s="76"/>
      <c r="J560" s="76"/>
      <c r="K560" s="153"/>
    </row>
    <row r="561" spans="3:12" x14ac:dyDescent="0.25">
      <c r="D561" s="31"/>
      <c r="E561" s="93"/>
      <c r="F561" s="93"/>
      <c r="G561" s="93"/>
      <c r="H561" s="76"/>
      <c r="I561" s="76"/>
      <c r="J561" s="76"/>
      <c r="K561" s="153"/>
    </row>
    <row r="562" spans="3:12" x14ac:dyDescent="0.25">
      <c r="D562" s="31"/>
      <c r="E562" s="93"/>
      <c r="F562" s="93"/>
      <c r="G562" s="93"/>
      <c r="H562" s="76"/>
      <c r="I562" s="76"/>
      <c r="J562" s="76"/>
      <c r="K562" s="153"/>
    </row>
    <row r="563" spans="3:12" ht="15.75" x14ac:dyDescent="0.25">
      <c r="C563" s="202" t="s">
        <v>391</v>
      </c>
      <c r="D563" s="368"/>
      <c r="E563" s="93"/>
      <c r="F563" s="93"/>
      <c r="G563" s="93"/>
      <c r="H563" s="76"/>
      <c r="I563" s="76"/>
      <c r="J563" s="76"/>
      <c r="K563" s="153"/>
    </row>
    <row r="564" spans="3:12" ht="18.75" x14ac:dyDescent="0.25">
      <c r="C564" s="210" t="e">
        <f>IFERROR(VLOOKUP(D563,'1. Desarrollo e Innov. Curricu.'!$F:$G,2,FALSE),IFERROR(VLOOKUP(D563,'2. Investigación Científica'!$F:$G,2,FALSE),IFERROR(VLOOKUP(D563,'3. Vinculación Univ. Sociedad'!$F:$G,2,FALSE),IFERROR(VLOOKUP(D563,'4. Docencia y Profesorado Univ.'!$F:$G,2,FALSE),IFERROR(VLOOKUP(D563,'5. Estudiantes y Graduados'!$F:$G,2,FALSE),IFERROR(VLOOKUP(D563,'11. Gestion Administrativa'!$F:$G,2,FALSE),IFERROR(VLOOKUP(D563,'13. Gestión Académica'!$F:$G,2,FALSE),IFERROR(VLOOKUP(D563,'9. Asegura. de la Calid. y M'!$F:$G,2,FALSE),IFERROR(VLOOKUP(D563,'6. Gestión del Conocimiento'!$F:$G,2,FALSE),IFERROR(VLOOKUP(D563,'15. Gobernabilidad y Proceso...'!$F:$G,2,FALSE),IFERROR(VLOOKUP(D563,'12. Gestión del Talento Humano'!$F:$G,2,FALSE),IFERROR(VLOOKUP(D563,'14. Internacional... de la E.S.'!$F:$G,2,FALSE),IFERROR(VLOOKUP(D563,'10. Posgrado'!$F:$G,2,FALSE),IFERROR(VLOOKUP(D563,'17. Gestión TIC'!$F:$G,2,FALSE),IFERROR(VLOOKUP(D563,'16. Desa. del Sistema Educ.Sup.'!$F:$G,2,FALSE),IFERROR(VLOOKUP(D563,'8. Cultura de Inno. Insti...'!$F:$G,2,FALSE),VLOOKUP(D563,'7. Lo Esencial de la Reforma U.'!$F:$G,2,0)))))))))))))))))</f>
        <v>#N/A</v>
      </c>
      <c r="D564" s="31"/>
      <c r="E564" s="93"/>
      <c r="F564" s="93"/>
      <c r="G564" s="93"/>
      <c r="H564" s="76"/>
      <c r="I564" s="76"/>
      <c r="J564" s="76"/>
      <c r="K564" s="153"/>
    </row>
    <row r="565" spans="3:12" ht="15.75" thickBot="1" x14ac:dyDescent="0.3">
      <c r="C565" s="177"/>
      <c r="D565" s="31"/>
      <c r="E565" s="93"/>
      <c r="F565" s="93"/>
      <c r="G565" s="93"/>
      <c r="H565" s="76"/>
      <c r="I565" s="76"/>
      <c r="J565" s="76"/>
      <c r="K565" s="153"/>
    </row>
    <row r="566" spans="3:12" ht="30.75" thickBot="1" x14ac:dyDescent="0.3">
      <c r="C566" s="134" t="s">
        <v>44</v>
      </c>
      <c r="D566" s="138" t="s">
        <v>55</v>
      </c>
      <c r="E566" s="170" t="s">
        <v>56</v>
      </c>
      <c r="F566" s="138" t="s">
        <v>57</v>
      </c>
      <c r="G566" s="135" t="s">
        <v>27</v>
      </c>
      <c r="H566" s="133" t="s">
        <v>130</v>
      </c>
      <c r="I566" s="136" t="s">
        <v>46</v>
      </c>
      <c r="J566" s="136" t="s">
        <v>131</v>
      </c>
      <c r="K566" s="136" t="s">
        <v>409</v>
      </c>
      <c r="L566" s="136" t="s">
        <v>410</v>
      </c>
    </row>
    <row r="567" spans="3:12" ht="15.75" thickBot="1" x14ac:dyDescent="0.3">
      <c r="C567" s="137" t="s">
        <v>481</v>
      </c>
      <c r="D567" s="199"/>
      <c r="E567" s="152">
        <v>12</v>
      </c>
      <c r="F567" s="303">
        <f>HLOOKUP($C567,$BZ$2:$CM$3,2,0)</f>
        <v>43674.39</v>
      </c>
      <c r="G567" s="113">
        <f>D567*E567*F567</f>
        <v>0</v>
      </c>
      <c r="H567" s="166"/>
      <c r="I567" s="114" t="s">
        <v>495</v>
      </c>
      <c r="J567" s="114" t="str">
        <f>VLOOKUP(I567,Presupuesto!$B$11:$C$565,2,0)</f>
        <v>SUELDOS Y SALARIOS PERMANENTES</v>
      </c>
      <c r="K567" s="218" t="s">
        <v>1449</v>
      </c>
      <c r="L567" s="98" t="s">
        <v>393</v>
      </c>
    </row>
    <row r="568" spans="3:12" x14ac:dyDescent="0.25">
      <c r="C568" s="171" t="s">
        <v>58</v>
      </c>
      <c r="D568" s="163"/>
      <c r="E568" s="154">
        <v>0</v>
      </c>
      <c r="F568" s="100">
        <f>IF(E567=0,"",(G567/E567)/12*E567)</f>
        <v>0</v>
      </c>
      <c r="G568" s="97">
        <f>F568</f>
        <v>0</v>
      </c>
      <c r="H568" s="164"/>
      <c r="I568" s="116" t="s">
        <v>515</v>
      </c>
      <c r="J568" s="116" t="str">
        <f>VLOOKUP(I568,Presupuesto!$B$11:$C$565,2,0)</f>
        <v>AGUINALDO Y DECIMO CUARTO MES</v>
      </c>
      <c r="K568" s="98" t="str">
        <f t="shared" ref="K568:K599" si="16">$K$567</f>
        <v>Posgrado</v>
      </c>
      <c r="L568" s="98" t="s">
        <v>411</v>
      </c>
    </row>
    <row r="569" spans="3:12" ht="15.75" thickBot="1" x14ac:dyDescent="0.3">
      <c r="C569" s="172" t="s">
        <v>59</v>
      </c>
      <c r="D569" s="163"/>
      <c r="E569" s="154">
        <v>0</v>
      </c>
      <c r="F569" s="117">
        <f>IF(E567&lt;6,"",((E567-6)/12)*(G567/E567))</f>
        <v>0</v>
      </c>
      <c r="G569" s="97">
        <f>F569</f>
        <v>0</v>
      </c>
      <c r="H569" s="164"/>
      <c r="I569" s="101" t="s">
        <v>518</v>
      </c>
      <c r="J569" s="101" t="str">
        <f>VLOOKUP(I569,Presupuesto!$B$11:$C$565,2,0)</f>
        <v>DECIMOCUARTO MES</v>
      </c>
      <c r="K569" s="98" t="str">
        <f t="shared" si="16"/>
        <v>Posgrado</v>
      </c>
      <c r="L569" s="98" t="s">
        <v>394</v>
      </c>
    </row>
    <row r="570" spans="3:12" ht="15.75" thickBot="1" x14ac:dyDescent="0.3">
      <c r="C570" s="137" t="s">
        <v>482</v>
      </c>
      <c r="D570" s="199"/>
      <c r="E570" s="152">
        <v>12</v>
      </c>
      <c r="F570" s="303">
        <f>HLOOKUP($C570,$BZ$2:$CM$3,2,0)</f>
        <v>39703.99</v>
      </c>
      <c r="G570" s="113">
        <f>D570*E570*F570</f>
        <v>0</v>
      </c>
      <c r="H570" s="166"/>
      <c r="I570" s="114" t="s">
        <v>495</v>
      </c>
      <c r="J570" s="114" t="str">
        <f>VLOOKUP(I570,Presupuesto!$B$11:$C$565,2,0)</f>
        <v>SUELDOS Y SALARIOS PERMANENTES</v>
      </c>
      <c r="K570" s="98" t="str">
        <f t="shared" si="16"/>
        <v>Posgrado</v>
      </c>
      <c r="L570" s="98" t="s">
        <v>394</v>
      </c>
    </row>
    <row r="571" spans="3:12" x14ac:dyDescent="0.25">
      <c r="C571" s="171" t="s">
        <v>58</v>
      </c>
      <c r="D571" s="163"/>
      <c r="E571" s="154">
        <v>0</v>
      </c>
      <c r="F571" s="100">
        <f>IF(E570=0,"",(G570/E570)/12*E570)</f>
        <v>0</v>
      </c>
      <c r="G571" s="97">
        <f>F571</f>
        <v>0</v>
      </c>
      <c r="H571" s="164"/>
      <c r="I571" s="116" t="s">
        <v>515</v>
      </c>
      <c r="J571" s="116" t="str">
        <f>VLOOKUP(I571,Presupuesto!$B$11:$C$565,2,0)</f>
        <v>AGUINALDO Y DECIMO CUARTO MES</v>
      </c>
      <c r="K571" s="98" t="str">
        <f t="shared" si="16"/>
        <v>Posgrado</v>
      </c>
      <c r="L571" s="98" t="s">
        <v>394</v>
      </c>
    </row>
    <row r="572" spans="3:12" ht="15.75" thickBot="1" x14ac:dyDescent="0.3">
      <c r="C572" s="172" t="s">
        <v>59</v>
      </c>
      <c r="D572" s="163"/>
      <c r="E572" s="154">
        <v>0</v>
      </c>
      <c r="F572" s="117">
        <f>IF(E570&lt;6,"",((E570-6)/12)*(G570/E570))</f>
        <v>0</v>
      </c>
      <c r="G572" s="97">
        <f>F572</f>
        <v>0</v>
      </c>
      <c r="H572" s="164"/>
      <c r="I572" s="101" t="s">
        <v>518</v>
      </c>
      <c r="J572" s="101" t="str">
        <f>VLOOKUP(I572,Presupuesto!$B$11:$C$565,2,0)</f>
        <v>DECIMOCUARTO MES</v>
      </c>
      <c r="K572" s="98" t="str">
        <f t="shared" si="16"/>
        <v>Posgrado</v>
      </c>
      <c r="L572" s="98" t="s">
        <v>394</v>
      </c>
    </row>
    <row r="573" spans="3:12" ht="15.75" thickBot="1" x14ac:dyDescent="0.3">
      <c r="C573" s="137" t="s">
        <v>483</v>
      </c>
      <c r="D573" s="199"/>
      <c r="E573" s="152">
        <v>12</v>
      </c>
      <c r="F573" s="303">
        <f>HLOOKUP($C573,$BZ$2:$CM$3,2,0)</f>
        <v>35733.589999999997</v>
      </c>
      <c r="G573" s="113">
        <f>D573*E573*F573</f>
        <v>0</v>
      </c>
      <c r="H573" s="166"/>
      <c r="I573" s="114" t="s">
        <v>495</v>
      </c>
      <c r="J573" s="114" t="str">
        <f>VLOOKUP(I573,Presupuesto!$B$11:$C$565,2,0)</f>
        <v>SUELDOS Y SALARIOS PERMANENTES</v>
      </c>
      <c r="K573" s="98" t="str">
        <f t="shared" si="16"/>
        <v>Posgrado</v>
      </c>
      <c r="L573" s="98" t="s">
        <v>394</v>
      </c>
    </row>
    <row r="574" spans="3:12" x14ac:dyDescent="0.25">
      <c r="C574" s="171" t="s">
        <v>58</v>
      </c>
      <c r="D574" s="163"/>
      <c r="E574" s="154">
        <v>0</v>
      </c>
      <c r="F574" s="100">
        <f>IF(E573=0,"",(G573/E573)/12*E573)</f>
        <v>0</v>
      </c>
      <c r="G574" s="97">
        <f>F574</f>
        <v>0</v>
      </c>
      <c r="H574" s="164"/>
      <c r="I574" s="116" t="s">
        <v>515</v>
      </c>
      <c r="J574" s="116" t="str">
        <f>VLOOKUP(I574,Presupuesto!$B$11:$C$565,2,0)</f>
        <v>AGUINALDO Y DECIMO CUARTO MES</v>
      </c>
      <c r="K574" s="98" t="str">
        <f t="shared" si="16"/>
        <v>Posgrado</v>
      </c>
      <c r="L574" s="98" t="s">
        <v>394</v>
      </c>
    </row>
    <row r="575" spans="3:12" ht="15.75" thickBot="1" x14ac:dyDescent="0.3">
      <c r="C575" s="172" t="s">
        <v>59</v>
      </c>
      <c r="D575" s="163"/>
      <c r="E575" s="154">
        <v>0</v>
      </c>
      <c r="F575" s="117">
        <f>IF(E573&lt;6,"",((E573-6)/12)*(G573/E573))</f>
        <v>0</v>
      </c>
      <c r="G575" s="97">
        <f>F575</f>
        <v>0</v>
      </c>
      <c r="H575" s="164"/>
      <c r="I575" s="101" t="s">
        <v>518</v>
      </c>
      <c r="J575" s="101" t="str">
        <f>VLOOKUP(I575,Presupuesto!$B$11:$C$565,2,0)</f>
        <v>DECIMOCUARTO MES</v>
      </c>
      <c r="K575" s="98" t="str">
        <f t="shared" si="16"/>
        <v>Posgrado</v>
      </c>
      <c r="L575" s="98" t="s">
        <v>394</v>
      </c>
    </row>
    <row r="576" spans="3:12" ht="15.75" thickBot="1" x14ac:dyDescent="0.3">
      <c r="C576" s="137" t="s">
        <v>484</v>
      </c>
      <c r="D576" s="199"/>
      <c r="E576" s="152">
        <v>12</v>
      </c>
      <c r="F576" s="303">
        <f>HLOOKUP($C576,$BZ$2:$CM$3,2,0)</f>
        <v>31763.19</v>
      </c>
      <c r="G576" s="113">
        <f>D576*E576*F576</f>
        <v>0</v>
      </c>
      <c r="H576" s="166"/>
      <c r="I576" s="114" t="s">
        <v>495</v>
      </c>
      <c r="J576" s="114" t="str">
        <f>VLOOKUP(I576,Presupuesto!$B$11:$C$565,2,0)</f>
        <v>SUELDOS Y SALARIOS PERMANENTES</v>
      </c>
      <c r="K576" s="98" t="str">
        <f t="shared" si="16"/>
        <v>Posgrado</v>
      </c>
      <c r="L576" s="98" t="s">
        <v>394</v>
      </c>
    </row>
    <row r="577" spans="3:12" x14ac:dyDescent="0.25">
      <c r="C577" s="171" t="s">
        <v>58</v>
      </c>
      <c r="D577" s="163"/>
      <c r="E577" s="154">
        <v>0</v>
      </c>
      <c r="F577" s="100">
        <f>IF(E576=0,"",(G576/E576)/12*E576)</f>
        <v>0</v>
      </c>
      <c r="G577" s="97">
        <f>F577</f>
        <v>0</v>
      </c>
      <c r="H577" s="164"/>
      <c r="I577" s="116" t="s">
        <v>515</v>
      </c>
      <c r="J577" s="116" t="str">
        <f>VLOOKUP(I577,Presupuesto!$B$11:$C$565,2,0)</f>
        <v>AGUINALDO Y DECIMO CUARTO MES</v>
      </c>
      <c r="K577" s="98" t="str">
        <f t="shared" si="16"/>
        <v>Posgrado</v>
      </c>
      <c r="L577" s="98" t="s">
        <v>394</v>
      </c>
    </row>
    <row r="578" spans="3:12" ht="15.75" thickBot="1" x14ac:dyDescent="0.3">
      <c r="C578" s="172" t="s">
        <v>59</v>
      </c>
      <c r="D578" s="163"/>
      <c r="E578" s="154">
        <v>0</v>
      </c>
      <c r="F578" s="117">
        <f>IF(E576&lt;6,"",((E576-6)/12)*(G576/E576))</f>
        <v>0</v>
      </c>
      <c r="G578" s="97">
        <f>F578</f>
        <v>0</v>
      </c>
      <c r="H578" s="164"/>
      <c r="I578" s="101" t="s">
        <v>518</v>
      </c>
      <c r="J578" s="101" t="str">
        <f>VLOOKUP(I578,Presupuesto!$B$11:$C$565,2,0)</f>
        <v>DECIMOCUARTO MES</v>
      </c>
      <c r="K578" s="98" t="str">
        <f t="shared" si="16"/>
        <v>Posgrado</v>
      </c>
      <c r="L578" s="98" t="s">
        <v>394</v>
      </c>
    </row>
    <row r="579" spans="3:12" ht="15.75" thickBot="1" x14ac:dyDescent="0.3">
      <c r="C579" s="137" t="s">
        <v>485</v>
      </c>
      <c r="D579" s="199"/>
      <c r="E579" s="152">
        <v>12</v>
      </c>
      <c r="F579" s="303">
        <f>HLOOKUP($C579,$BZ$2:$CM$3,2,0)</f>
        <v>29777.99</v>
      </c>
      <c r="G579" s="113">
        <f>D579*E579*F579</f>
        <v>0</v>
      </c>
      <c r="H579" s="166"/>
      <c r="I579" s="114" t="s">
        <v>495</v>
      </c>
      <c r="J579" s="114" t="str">
        <f>VLOOKUP(I579,Presupuesto!$B$11:$C$565,2,0)</f>
        <v>SUELDOS Y SALARIOS PERMANENTES</v>
      </c>
      <c r="K579" s="98" t="str">
        <f t="shared" si="16"/>
        <v>Posgrado</v>
      </c>
      <c r="L579" s="98" t="s">
        <v>394</v>
      </c>
    </row>
    <row r="580" spans="3:12" x14ac:dyDescent="0.25">
      <c r="C580" s="171" t="s">
        <v>58</v>
      </c>
      <c r="D580" s="163"/>
      <c r="E580" s="154">
        <v>0</v>
      </c>
      <c r="F580" s="100">
        <f>IF(E579=0,"",(G579/E579)/12*E579)</f>
        <v>0</v>
      </c>
      <c r="G580" s="97">
        <f>F580</f>
        <v>0</v>
      </c>
      <c r="H580" s="164"/>
      <c r="I580" s="116" t="s">
        <v>515</v>
      </c>
      <c r="J580" s="116" t="str">
        <f>VLOOKUP(I580,Presupuesto!$B$11:$C$565,2,0)</f>
        <v>AGUINALDO Y DECIMO CUARTO MES</v>
      </c>
      <c r="K580" s="98" t="str">
        <f t="shared" si="16"/>
        <v>Posgrado</v>
      </c>
      <c r="L580" s="98" t="s">
        <v>394</v>
      </c>
    </row>
    <row r="581" spans="3:12" ht="15.75" thickBot="1" x14ac:dyDescent="0.3">
      <c r="C581" s="172" t="s">
        <v>59</v>
      </c>
      <c r="D581" s="163"/>
      <c r="E581" s="154">
        <v>0</v>
      </c>
      <c r="F581" s="117">
        <f>IF(E579&lt;6,"",((E579-6)/12)*(G579/E579))</f>
        <v>0</v>
      </c>
      <c r="G581" s="97">
        <f>F581</f>
        <v>0</v>
      </c>
      <c r="H581" s="164"/>
      <c r="I581" s="101" t="s">
        <v>518</v>
      </c>
      <c r="J581" s="101" t="str">
        <f>VLOOKUP(I581,Presupuesto!$B$11:$C$565,2,0)</f>
        <v>DECIMOCUARTO MES</v>
      </c>
      <c r="K581" s="98" t="str">
        <f t="shared" si="16"/>
        <v>Posgrado</v>
      </c>
      <c r="L581" s="98" t="s">
        <v>394</v>
      </c>
    </row>
    <row r="582" spans="3:12" ht="15.75" thickBot="1" x14ac:dyDescent="0.3">
      <c r="C582" s="137" t="s">
        <v>486</v>
      </c>
      <c r="D582" s="199"/>
      <c r="E582" s="152">
        <v>12</v>
      </c>
      <c r="F582" s="303">
        <f>HLOOKUP($C582,$BZ$2:$CM$3,2,0)</f>
        <v>27792.79</v>
      </c>
      <c r="G582" s="113">
        <f>D582*E582*F582</f>
        <v>0</v>
      </c>
      <c r="H582" s="166"/>
      <c r="I582" s="114" t="s">
        <v>495</v>
      </c>
      <c r="J582" s="114" t="str">
        <f>VLOOKUP(I582,Presupuesto!$B$11:$C$565,2,0)</f>
        <v>SUELDOS Y SALARIOS PERMANENTES</v>
      </c>
      <c r="K582" s="98" t="str">
        <f t="shared" si="16"/>
        <v>Posgrado</v>
      </c>
      <c r="L582" s="98" t="s">
        <v>394</v>
      </c>
    </row>
    <row r="583" spans="3:12" x14ac:dyDescent="0.25">
      <c r="C583" s="171" t="s">
        <v>58</v>
      </c>
      <c r="D583" s="163"/>
      <c r="E583" s="154">
        <v>0</v>
      </c>
      <c r="F583" s="100">
        <f>IF(E582=0,"",(G582/E582)/12*E582)</f>
        <v>0</v>
      </c>
      <c r="G583" s="97">
        <f>F583</f>
        <v>0</v>
      </c>
      <c r="H583" s="164"/>
      <c r="I583" s="116" t="s">
        <v>515</v>
      </c>
      <c r="J583" s="116" t="str">
        <f>VLOOKUP(I583,Presupuesto!$B$11:$C$565,2,0)</f>
        <v>AGUINALDO Y DECIMO CUARTO MES</v>
      </c>
      <c r="K583" s="98" t="str">
        <f t="shared" si="16"/>
        <v>Posgrado</v>
      </c>
      <c r="L583" s="98" t="s">
        <v>394</v>
      </c>
    </row>
    <row r="584" spans="3:12" ht="15.75" thickBot="1" x14ac:dyDescent="0.3">
      <c r="C584" s="172" t="s">
        <v>59</v>
      </c>
      <c r="D584" s="163"/>
      <c r="E584" s="154">
        <v>0</v>
      </c>
      <c r="F584" s="117">
        <f>IF(E582&lt;6,"",((E582-6)/12)*(G582/E582))</f>
        <v>0</v>
      </c>
      <c r="G584" s="97">
        <f>F584</f>
        <v>0</v>
      </c>
      <c r="H584" s="164"/>
      <c r="I584" s="101" t="s">
        <v>518</v>
      </c>
      <c r="J584" s="101" t="str">
        <f>VLOOKUP(I584,Presupuesto!$B$11:$C$565,2,0)</f>
        <v>DECIMOCUARTO MES</v>
      </c>
      <c r="K584" s="98" t="str">
        <f t="shared" si="16"/>
        <v>Posgrado</v>
      </c>
      <c r="L584" s="98" t="s">
        <v>394</v>
      </c>
    </row>
    <row r="585" spans="3:12" ht="15.75" thickBot="1" x14ac:dyDescent="0.3">
      <c r="C585" s="137" t="s">
        <v>487</v>
      </c>
      <c r="D585" s="199"/>
      <c r="E585" s="152">
        <v>12</v>
      </c>
      <c r="F585" s="303">
        <f>HLOOKUP($C585,$BZ$2:$CM$3,2,0)</f>
        <v>18859.39</v>
      </c>
      <c r="G585" s="113">
        <f>D585*E585*F585</f>
        <v>0</v>
      </c>
      <c r="H585" s="166"/>
      <c r="I585" s="114" t="s">
        <v>495</v>
      </c>
      <c r="J585" s="114" t="str">
        <f>VLOOKUP(I585,Presupuesto!$B$11:$C$565,2,0)</f>
        <v>SUELDOS Y SALARIOS PERMANENTES</v>
      </c>
      <c r="K585" s="98" t="str">
        <f t="shared" si="16"/>
        <v>Posgrado</v>
      </c>
      <c r="L585" s="98" t="s">
        <v>394</v>
      </c>
    </row>
    <row r="586" spans="3:12" x14ac:dyDescent="0.25">
      <c r="C586" s="171" t="s">
        <v>58</v>
      </c>
      <c r="D586" s="163"/>
      <c r="E586" s="154">
        <v>0</v>
      </c>
      <c r="F586" s="100">
        <f>IF(E585=0,"",(G585/E585)/12*E585)</f>
        <v>0</v>
      </c>
      <c r="G586" s="97">
        <f>F586</f>
        <v>0</v>
      </c>
      <c r="H586" s="164"/>
      <c r="I586" s="116" t="s">
        <v>515</v>
      </c>
      <c r="J586" s="116" t="str">
        <f>VLOOKUP(I586,Presupuesto!$B$11:$C$565,2,0)</f>
        <v>AGUINALDO Y DECIMO CUARTO MES</v>
      </c>
      <c r="K586" s="98" t="str">
        <f t="shared" si="16"/>
        <v>Posgrado</v>
      </c>
      <c r="L586" s="98" t="s">
        <v>394</v>
      </c>
    </row>
    <row r="587" spans="3:12" ht="15.75" thickBot="1" x14ac:dyDescent="0.3">
      <c r="C587" s="172" t="s">
        <v>59</v>
      </c>
      <c r="D587" s="163"/>
      <c r="E587" s="154">
        <v>0</v>
      </c>
      <c r="F587" s="117">
        <f>IF(E585&lt;6,"",((E585-6)/12)*(G585/E585))</f>
        <v>0</v>
      </c>
      <c r="G587" s="97">
        <f>F587</f>
        <v>0</v>
      </c>
      <c r="H587" s="164"/>
      <c r="I587" s="101" t="s">
        <v>518</v>
      </c>
      <c r="J587" s="101" t="str">
        <f>VLOOKUP(I587,Presupuesto!$B$11:$C$565,2,0)</f>
        <v>DECIMOCUARTO MES</v>
      </c>
      <c r="K587" s="98" t="str">
        <f t="shared" si="16"/>
        <v>Posgrado</v>
      </c>
      <c r="L587" s="98" t="s">
        <v>394</v>
      </c>
    </row>
    <row r="588" spans="3:12" ht="15.75" thickBot="1" x14ac:dyDescent="0.3">
      <c r="C588" s="137" t="s">
        <v>488</v>
      </c>
      <c r="D588" s="199"/>
      <c r="E588" s="152">
        <v>12</v>
      </c>
      <c r="F588" s="303">
        <f>HLOOKUP($C588,$BZ$2:$CM$3,2,0)</f>
        <v>17866.8</v>
      </c>
      <c r="G588" s="113">
        <f>D588*E588*F588</f>
        <v>0</v>
      </c>
      <c r="H588" s="166"/>
      <c r="I588" s="114" t="s">
        <v>495</v>
      </c>
      <c r="J588" s="114" t="str">
        <f>VLOOKUP(I588,Presupuesto!$B$11:$C$565,2,0)</f>
        <v>SUELDOS Y SALARIOS PERMANENTES</v>
      </c>
      <c r="K588" s="98" t="str">
        <f t="shared" si="16"/>
        <v>Posgrado</v>
      </c>
      <c r="L588" s="98" t="s">
        <v>394</v>
      </c>
    </row>
    <row r="589" spans="3:12" x14ac:dyDescent="0.25">
      <c r="C589" s="171" t="s">
        <v>58</v>
      </c>
      <c r="D589" s="163"/>
      <c r="E589" s="154">
        <v>0</v>
      </c>
      <c r="F589" s="100">
        <f>IF(E588=0,"",(G588/E588)/12*E588)</f>
        <v>0</v>
      </c>
      <c r="G589" s="97">
        <f>F589</f>
        <v>0</v>
      </c>
      <c r="H589" s="164"/>
      <c r="I589" s="116" t="s">
        <v>515</v>
      </c>
      <c r="J589" s="116" t="str">
        <f>VLOOKUP(I589,Presupuesto!$B$11:$C$565,2,0)</f>
        <v>AGUINALDO Y DECIMO CUARTO MES</v>
      </c>
      <c r="K589" s="98" t="str">
        <f t="shared" si="16"/>
        <v>Posgrado</v>
      </c>
      <c r="L589" s="98" t="s">
        <v>394</v>
      </c>
    </row>
    <row r="590" spans="3:12" ht="15.75" thickBot="1" x14ac:dyDescent="0.3">
      <c r="C590" s="172" t="s">
        <v>59</v>
      </c>
      <c r="D590" s="163"/>
      <c r="E590" s="154">
        <v>0</v>
      </c>
      <c r="F590" s="117">
        <f>IF(E588&lt;6,"",((E588-6)/12)*(G588/E588))</f>
        <v>0</v>
      </c>
      <c r="G590" s="97">
        <f>F590</f>
        <v>0</v>
      </c>
      <c r="H590" s="164"/>
      <c r="I590" s="101" t="s">
        <v>518</v>
      </c>
      <c r="J590" s="101" t="str">
        <f>VLOOKUP(I590,Presupuesto!$B$11:$C$565,2,0)</f>
        <v>DECIMOCUARTO MES</v>
      </c>
      <c r="K590" s="98" t="str">
        <f t="shared" si="16"/>
        <v>Posgrado</v>
      </c>
      <c r="L590" s="98" t="s">
        <v>394</v>
      </c>
    </row>
    <row r="591" spans="3:12" ht="15.75" thickBot="1" x14ac:dyDescent="0.3">
      <c r="C591" s="137" t="s">
        <v>489</v>
      </c>
      <c r="D591" s="199"/>
      <c r="E591" s="152">
        <v>12</v>
      </c>
      <c r="F591" s="303">
        <f>HLOOKUP($C591,$BZ$2:$CM$3,2,0)</f>
        <v>13896.4</v>
      </c>
      <c r="G591" s="113">
        <f>D591*E591*F591</f>
        <v>0</v>
      </c>
      <c r="H591" s="166"/>
      <c r="I591" s="114" t="s">
        <v>495</v>
      </c>
      <c r="J591" s="114" t="str">
        <f>VLOOKUP(I591,Presupuesto!$B$11:$C$565,2,0)</f>
        <v>SUELDOS Y SALARIOS PERMANENTES</v>
      </c>
      <c r="K591" s="98" t="str">
        <f t="shared" si="16"/>
        <v>Posgrado</v>
      </c>
      <c r="L591" s="98" t="s">
        <v>394</v>
      </c>
    </row>
    <row r="592" spans="3:12" x14ac:dyDescent="0.25">
      <c r="C592" s="171" t="s">
        <v>58</v>
      </c>
      <c r="D592" s="163"/>
      <c r="E592" s="154">
        <v>0</v>
      </c>
      <c r="F592" s="100">
        <f>IF(E591=0,"",(G591/E591)/12*E591)</f>
        <v>0</v>
      </c>
      <c r="G592" s="97">
        <f>F592</f>
        <v>0</v>
      </c>
      <c r="H592" s="164"/>
      <c r="I592" s="116" t="s">
        <v>515</v>
      </c>
      <c r="J592" s="116" t="str">
        <f>VLOOKUP(I592,Presupuesto!$B$11:$C$565,2,0)</f>
        <v>AGUINALDO Y DECIMO CUARTO MES</v>
      </c>
      <c r="K592" s="98" t="str">
        <f t="shared" si="16"/>
        <v>Posgrado</v>
      </c>
      <c r="L592" s="98" t="s">
        <v>394</v>
      </c>
    </row>
    <row r="593" spans="3:12" ht="15.75" thickBot="1" x14ac:dyDescent="0.3">
      <c r="C593" s="172" t="s">
        <v>59</v>
      </c>
      <c r="D593" s="163"/>
      <c r="E593" s="154">
        <v>0</v>
      </c>
      <c r="F593" s="117">
        <f>IF(E591&lt;6,"",((E591-6)/12)*(G591/E591))</f>
        <v>0</v>
      </c>
      <c r="G593" s="97">
        <f>F593</f>
        <v>0</v>
      </c>
      <c r="H593" s="164"/>
      <c r="I593" s="101" t="s">
        <v>518</v>
      </c>
      <c r="J593" s="101" t="str">
        <f>VLOOKUP(I593,Presupuesto!$B$11:$C$565,2,0)</f>
        <v>DECIMOCUARTO MES</v>
      </c>
      <c r="K593" s="98" t="str">
        <f t="shared" si="16"/>
        <v>Posgrado</v>
      </c>
      <c r="L593" s="98" t="s">
        <v>394</v>
      </c>
    </row>
    <row r="594" spans="3:12" ht="15.75" thickBot="1" x14ac:dyDescent="0.3">
      <c r="C594" s="137" t="s">
        <v>490</v>
      </c>
      <c r="D594" s="199"/>
      <c r="E594" s="152">
        <v>12</v>
      </c>
      <c r="F594" s="303">
        <f>HLOOKUP($C594,$BZ$2:$CM$3,2,0)</f>
        <v>15004.09</v>
      </c>
      <c r="G594" s="113">
        <f>D594*E594*F594</f>
        <v>0</v>
      </c>
      <c r="H594" s="166"/>
      <c r="I594" s="114" t="s">
        <v>495</v>
      </c>
      <c r="J594" s="114" t="str">
        <f>VLOOKUP(I594,Presupuesto!$B$11:$C$565,2,0)</f>
        <v>SUELDOS Y SALARIOS PERMANENTES</v>
      </c>
      <c r="K594" s="98" t="str">
        <f t="shared" si="16"/>
        <v>Posgrado</v>
      </c>
      <c r="L594" s="98" t="s">
        <v>394</v>
      </c>
    </row>
    <row r="595" spans="3:12" x14ac:dyDescent="0.25">
      <c r="C595" s="171" t="s">
        <v>58</v>
      </c>
      <c r="D595" s="163"/>
      <c r="E595" s="154">
        <v>0</v>
      </c>
      <c r="F595" s="100">
        <f>IF(E594=0,"",(G594/E594)/12*E594)</f>
        <v>0</v>
      </c>
      <c r="G595" s="97">
        <f>F595</f>
        <v>0</v>
      </c>
      <c r="H595" s="164"/>
      <c r="I595" s="116" t="s">
        <v>515</v>
      </c>
      <c r="J595" s="116" t="str">
        <f>VLOOKUP(I595,Presupuesto!$B$11:$C$565,2,0)</f>
        <v>AGUINALDO Y DECIMO CUARTO MES</v>
      </c>
      <c r="K595" s="98" t="str">
        <f t="shared" si="16"/>
        <v>Posgrado</v>
      </c>
      <c r="L595" s="98" t="s">
        <v>394</v>
      </c>
    </row>
    <row r="596" spans="3:12" ht="15.75" thickBot="1" x14ac:dyDescent="0.3">
      <c r="C596" s="172" t="s">
        <v>59</v>
      </c>
      <c r="D596" s="163"/>
      <c r="E596" s="154">
        <v>0</v>
      </c>
      <c r="F596" s="117">
        <f>IF(E594&lt;6,"",((E594-6)/12)*(G594/E594))</f>
        <v>0</v>
      </c>
      <c r="G596" s="97">
        <f>F596</f>
        <v>0</v>
      </c>
      <c r="H596" s="164"/>
      <c r="I596" s="101" t="s">
        <v>518</v>
      </c>
      <c r="J596" s="101" t="str">
        <f>VLOOKUP(I596,Presupuesto!$B$11:$C$565,2,0)</f>
        <v>DECIMOCUARTO MES</v>
      </c>
      <c r="K596" s="98" t="str">
        <f t="shared" si="16"/>
        <v>Posgrado</v>
      </c>
      <c r="L596" s="98" t="s">
        <v>394</v>
      </c>
    </row>
    <row r="597" spans="3:12" ht="15.75" thickBot="1" x14ac:dyDescent="0.3">
      <c r="C597" s="137" t="s">
        <v>491</v>
      </c>
      <c r="D597" s="199"/>
      <c r="E597" s="152">
        <v>12</v>
      </c>
      <c r="F597" s="303">
        <f>HLOOKUP($C597,$BZ$2:$CM$3,2,0)</f>
        <v>13238.9</v>
      </c>
      <c r="G597" s="113">
        <f>D597*E597*F597</f>
        <v>0</v>
      </c>
      <c r="H597" s="166"/>
      <c r="I597" s="114" t="s">
        <v>495</v>
      </c>
      <c r="J597" s="114" t="str">
        <f>VLOOKUP(I597,Presupuesto!$B$11:$C$565,2,0)</f>
        <v>SUELDOS Y SALARIOS PERMANENTES</v>
      </c>
      <c r="K597" s="98" t="str">
        <f t="shared" si="16"/>
        <v>Posgrado</v>
      </c>
      <c r="L597" s="98" t="s">
        <v>394</v>
      </c>
    </row>
    <row r="598" spans="3:12" x14ac:dyDescent="0.25">
      <c r="C598" s="171" t="s">
        <v>58</v>
      </c>
      <c r="D598" s="163"/>
      <c r="E598" s="154">
        <v>0</v>
      </c>
      <c r="F598" s="100">
        <f>IF(E597=0,"",(G597/E597)/12*E597)</f>
        <v>0</v>
      </c>
      <c r="G598" s="97">
        <f>F598</f>
        <v>0</v>
      </c>
      <c r="H598" s="164"/>
      <c r="I598" s="116" t="s">
        <v>515</v>
      </c>
      <c r="J598" s="116" t="str">
        <f>VLOOKUP(I598,Presupuesto!$B$11:$C$565,2,0)</f>
        <v>AGUINALDO Y DECIMO CUARTO MES</v>
      </c>
      <c r="K598" s="98" t="str">
        <f t="shared" si="16"/>
        <v>Posgrado</v>
      </c>
      <c r="L598" s="98" t="s">
        <v>394</v>
      </c>
    </row>
    <row r="599" spans="3:12" ht="15.75" thickBot="1" x14ac:dyDescent="0.3">
      <c r="C599" s="172" t="s">
        <v>59</v>
      </c>
      <c r="D599" s="163"/>
      <c r="E599" s="154">
        <v>0</v>
      </c>
      <c r="F599" s="117">
        <f>IF(E597&lt;6,"",((E597-6)/12)*(G597/E597))</f>
        <v>0</v>
      </c>
      <c r="G599" s="97">
        <f>F599</f>
        <v>0</v>
      </c>
      <c r="H599" s="164"/>
      <c r="I599" s="101" t="s">
        <v>518</v>
      </c>
      <c r="J599" s="101" t="str">
        <f>VLOOKUP(I599,Presupuesto!$B$11:$C$565,2,0)</f>
        <v>DECIMOCUARTO MES</v>
      </c>
      <c r="K599" s="98" t="str">
        <f t="shared" si="16"/>
        <v>Posgrado</v>
      </c>
      <c r="L599" s="98" t="s">
        <v>394</v>
      </c>
    </row>
    <row r="600" spans="3:12" ht="15.75" thickBot="1" x14ac:dyDescent="0.3">
      <c r="C600" s="137" t="s">
        <v>492</v>
      </c>
      <c r="D600" s="199"/>
      <c r="E600" s="152">
        <v>12</v>
      </c>
      <c r="F600" s="303">
        <f>HLOOKUP($C600,$BZ$2:$CM$3,2,0)</f>
        <v>12356.31</v>
      </c>
      <c r="G600" s="113">
        <f>D600*E600*F600</f>
        <v>0</v>
      </c>
      <c r="H600" s="166"/>
      <c r="I600" s="114" t="s">
        <v>495</v>
      </c>
      <c r="J600" s="114" t="str">
        <f>VLOOKUP(I600,Presupuesto!$B$11:$C$565,2,0)</f>
        <v>SUELDOS Y SALARIOS PERMANENTES</v>
      </c>
      <c r="K600" s="98" t="str">
        <f t="shared" ref="K600:K617" si="17">$K$567</f>
        <v>Posgrado</v>
      </c>
      <c r="L600" s="98" t="s">
        <v>394</v>
      </c>
    </row>
    <row r="601" spans="3:12" x14ac:dyDescent="0.25">
      <c r="C601" s="171" t="s">
        <v>58</v>
      </c>
      <c r="D601" s="163"/>
      <c r="E601" s="154">
        <v>0</v>
      </c>
      <c r="F601" s="100">
        <f>IF(E600=0,"",(G600/E600)/12*E600)</f>
        <v>0</v>
      </c>
      <c r="G601" s="97">
        <f>F601</f>
        <v>0</v>
      </c>
      <c r="H601" s="164"/>
      <c r="I601" s="116" t="s">
        <v>515</v>
      </c>
      <c r="J601" s="116" t="str">
        <f>VLOOKUP(I601,Presupuesto!$B$11:$C$565,2,0)</f>
        <v>AGUINALDO Y DECIMO CUARTO MES</v>
      </c>
      <c r="K601" s="98" t="str">
        <f t="shared" si="17"/>
        <v>Posgrado</v>
      </c>
      <c r="L601" s="98" t="s">
        <v>394</v>
      </c>
    </row>
    <row r="602" spans="3:12" ht="15.75" thickBot="1" x14ac:dyDescent="0.3">
      <c r="C602" s="172" t="s">
        <v>59</v>
      </c>
      <c r="D602" s="163"/>
      <c r="E602" s="154">
        <v>0</v>
      </c>
      <c r="F602" s="117">
        <f>IF(E600&lt;6,"",((E600-6)/12)*(G600/E600))</f>
        <v>0</v>
      </c>
      <c r="G602" s="97">
        <f>F602</f>
        <v>0</v>
      </c>
      <c r="H602" s="164"/>
      <c r="I602" s="101" t="s">
        <v>518</v>
      </c>
      <c r="J602" s="101" t="str">
        <f>VLOOKUP(I602,Presupuesto!$B$11:$C$565,2,0)</f>
        <v>DECIMOCUARTO MES</v>
      </c>
      <c r="K602" s="98" t="str">
        <f t="shared" si="17"/>
        <v>Posgrado</v>
      </c>
      <c r="L602" s="98" t="s">
        <v>394</v>
      </c>
    </row>
    <row r="603" spans="3:12" ht="15.75" thickBot="1" x14ac:dyDescent="0.3">
      <c r="C603" s="137" t="s">
        <v>493</v>
      </c>
      <c r="D603" s="199"/>
      <c r="E603" s="152">
        <v>12</v>
      </c>
      <c r="F603" s="303">
        <f>HLOOKUP($C603,$BZ$2:$CM$3,2,0)</f>
        <v>463.22</v>
      </c>
      <c r="G603" s="113">
        <f>D603*E603*F603</f>
        <v>0</v>
      </c>
      <c r="H603" s="166"/>
      <c r="I603" s="114" t="s">
        <v>495</v>
      </c>
      <c r="J603" s="114" t="str">
        <f>VLOOKUP(I603,Presupuesto!$B$11:$C$565,2,0)</f>
        <v>SUELDOS Y SALARIOS PERMANENTES</v>
      </c>
      <c r="K603" s="98" t="str">
        <f t="shared" si="17"/>
        <v>Posgrado</v>
      </c>
      <c r="L603" s="98" t="s">
        <v>394</v>
      </c>
    </row>
    <row r="604" spans="3:12" x14ac:dyDescent="0.25">
      <c r="C604" s="171" t="s">
        <v>58</v>
      </c>
      <c r="D604" s="163"/>
      <c r="E604" s="154">
        <v>0</v>
      </c>
      <c r="F604" s="100">
        <f>IF(E603=0,"",(G603/E603)/12*E603)</f>
        <v>0</v>
      </c>
      <c r="G604" s="97">
        <f>F604</f>
        <v>0</v>
      </c>
      <c r="H604" s="164"/>
      <c r="I604" s="116" t="s">
        <v>515</v>
      </c>
      <c r="J604" s="116" t="str">
        <f>VLOOKUP(I604,Presupuesto!$B$11:$C$565,2,0)</f>
        <v>AGUINALDO Y DECIMO CUARTO MES</v>
      </c>
      <c r="K604" s="98" t="str">
        <f t="shared" si="17"/>
        <v>Posgrado</v>
      </c>
      <c r="L604" s="98" t="s">
        <v>394</v>
      </c>
    </row>
    <row r="605" spans="3:12" ht="15.75" thickBot="1" x14ac:dyDescent="0.3">
      <c r="C605" s="172" t="s">
        <v>59</v>
      </c>
      <c r="D605" s="163"/>
      <c r="E605" s="154">
        <v>0</v>
      </c>
      <c r="F605" s="117">
        <f>IF(E603&lt;6,"",((E603-6)/12)*(G603/E603))</f>
        <v>0</v>
      </c>
      <c r="G605" s="97">
        <f>F605</f>
        <v>0</v>
      </c>
      <c r="H605" s="164"/>
      <c r="I605" s="101" t="s">
        <v>518</v>
      </c>
      <c r="J605" s="101" t="str">
        <f>VLOOKUP(I605,Presupuesto!$B$11:$C$565,2,0)</f>
        <v>DECIMOCUARTO MES</v>
      </c>
      <c r="K605" s="98" t="str">
        <f t="shared" si="17"/>
        <v>Posgrado</v>
      </c>
      <c r="L605" s="98" t="s">
        <v>394</v>
      </c>
    </row>
    <row r="606" spans="3:12" ht="15.75" thickBot="1" x14ac:dyDescent="0.3">
      <c r="C606" s="137" t="s">
        <v>494</v>
      </c>
      <c r="D606" s="199"/>
      <c r="E606" s="152">
        <v>12</v>
      </c>
      <c r="F606" s="303">
        <f>HLOOKUP($C606,$BZ$2:$CM$3,2,0)</f>
        <v>2007.3</v>
      </c>
      <c r="G606" s="113">
        <f>D606*E606*F606</f>
        <v>0</v>
      </c>
      <c r="H606" s="166"/>
      <c r="I606" s="114" t="s">
        <v>495</v>
      </c>
      <c r="J606" s="114" t="str">
        <f>VLOOKUP(I606,Presupuesto!$B$11:$C$565,2,0)</f>
        <v>SUELDOS Y SALARIOS PERMANENTES</v>
      </c>
      <c r="K606" s="98" t="str">
        <f t="shared" si="17"/>
        <v>Posgrado</v>
      </c>
      <c r="L606" s="98" t="s">
        <v>394</v>
      </c>
    </row>
    <row r="607" spans="3:12" x14ac:dyDescent="0.25">
      <c r="C607" s="171" t="s">
        <v>58</v>
      </c>
      <c r="D607" s="163"/>
      <c r="E607" s="154">
        <v>0</v>
      </c>
      <c r="F607" s="100">
        <f>IF(E606=0,"",(G606/E606)/12*E606)</f>
        <v>0</v>
      </c>
      <c r="G607" s="97">
        <f>F607</f>
        <v>0</v>
      </c>
      <c r="H607" s="164"/>
      <c r="I607" s="116" t="s">
        <v>515</v>
      </c>
      <c r="J607" s="116" t="str">
        <f>VLOOKUP(I607,Presupuesto!$B$11:$C$565,2,0)</f>
        <v>AGUINALDO Y DECIMO CUARTO MES</v>
      </c>
      <c r="K607" s="98" t="str">
        <f t="shared" si="17"/>
        <v>Posgrado</v>
      </c>
      <c r="L607" s="98" t="s">
        <v>394</v>
      </c>
    </row>
    <row r="608" spans="3:12" ht="15.75" thickBot="1" x14ac:dyDescent="0.3">
      <c r="C608" s="172" t="s">
        <v>59</v>
      </c>
      <c r="D608" s="163"/>
      <c r="E608" s="154">
        <v>0</v>
      </c>
      <c r="F608" s="117">
        <f>IF(E606&lt;6,"",((E606-6)/12)*(G606/E606))</f>
        <v>0</v>
      </c>
      <c r="G608" s="97">
        <f>F608</f>
        <v>0</v>
      </c>
      <c r="H608" s="164"/>
      <c r="I608" s="101" t="s">
        <v>518</v>
      </c>
      <c r="J608" s="101" t="str">
        <f>VLOOKUP(I608,Presupuesto!$B$11:$C$565,2,0)</f>
        <v>DECIMOCUARTO MES</v>
      </c>
      <c r="K608" s="98" t="str">
        <f t="shared" si="17"/>
        <v>Posgrado</v>
      </c>
      <c r="L608" s="98" t="s">
        <v>394</v>
      </c>
    </row>
    <row r="609" spans="3:12" ht="15.75" thickBot="1" x14ac:dyDescent="0.3">
      <c r="C609" s="140" t="s">
        <v>83</v>
      </c>
      <c r="D609" s="199"/>
      <c r="E609" s="152">
        <v>12</v>
      </c>
      <c r="F609" s="139">
        <v>30000</v>
      </c>
      <c r="G609" s="113">
        <f>D609*E609*F609</f>
        <v>0</v>
      </c>
      <c r="H609" s="166"/>
      <c r="I609" s="114" t="s">
        <v>563</v>
      </c>
      <c r="J609" s="114" t="str">
        <f>VLOOKUP(I609,Presupuesto!$B$11:$C$565,2,0)</f>
        <v>CONTRATOS ESPECIALES</v>
      </c>
      <c r="K609" s="98" t="str">
        <f t="shared" si="17"/>
        <v>Posgrado</v>
      </c>
      <c r="L609" s="98" t="s">
        <v>394</v>
      </c>
    </row>
    <row r="610" spans="3:12" x14ac:dyDescent="0.25">
      <c r="C610" s="171" t="s">
        <v>58</v>
      </c>
      <c r="D610" s="163"/>
      <c r="E610" s="154">
        <v>0</v>
      </c>
      <c r="F610" s="117">
        <f>IF(E609=0,"",(G609/E609)/12*E609)</f>
        <v>0</v>
      </c>
      <c r="G610" s="97">
        <f>F610</f>
        <v>0</v>
      </c>
      <c r="H610" s="164"/>
      <c r="I610" s="101" t="s">
        <v>563</v>
      </c>
      <c r="J610" s="101" t="str">
        <f>VLOOKUP(I610,Presupuesto!$B$11:$C$565,2,0)</f>
        <v>CONTRATOS ESPECIALES</v>
      </c>
      <c r="K610" s="98" t="str">
        <f t="shared" si="17"/>
        <v>Posgrado</v>
      </c>
      <c r="L610" s="98" t="s">
        <v>393</v>
      </c>
    </row>
    <row r="611" spans="3:12" ht="15.75" thickBot="1" x14ac:dyDescent="0.3">
      <c r="C611" s="172" t="s">
        <v>59</v>
      </c>
      <c r="D611" s="163"/>
      <c r="E611" s="154">
        <v>0</v>
      </c>
      <c r="F611" s="100">
        <f>IF(E609&lt;6,"",((E609-6)/12)*(G609/E609))</f>
        <v>0</v>
      </c>
      <c r="G611" s="97">
        <f>F611</f>
        <v>0</v>
      </c>
      <c r="H611" s="164"/>
      <c r="I611" s="101" t="s">
        <v>563</v>
      </c>
      <c r="J611" s="101" t="str">
        <f>VLOOKUP(I611,Presupuesto!$B$11:$C$565,2,0)</f>
        <v>CONTRATOS ESPECIALES</v>
      </c>
      <c r="K611" s="98" t="str">
        <f t="shared" si="17"/>
        <v>Posgrado</v>
      </c>
      <c r="L611" s="98" t="s">
        <v>398</v>
      </c>
    </row>
    <row r="612" spans="3:12" ht="15.75" thickBot="1" x14ac:dyDescent="0.3">
      <c r="C612" s="140" t="s">
        <v>60</v>
      </c>
      <c r="D612" s="199"/>
      <c r="E612" s="152">
        <v>12</v>
      </c>
      <c r="F612" s="118">
        <v>30000</v>
      </c>
      <c r="G612" s="113">
        <f>D612*E612*F612</f>
        <v>0</v>
      </c>
      <c r="H612" s="166"/>
      <c r="I612" s="114" t="s">
        <v>704</v>
      </c>
      <c r="J612" s="114" t="str">
        <f>VLOOKUP(I612,Presupuesto!$B$11:$C$565,2,0)</f>
        <v>OTROS SERVICIOS TECNICOS Y PROFESIONALES</v>
      </c>
      <c r="K612" s="98" t="str">
        <f t="shared" si="17"/>
        <v>Posgrado</v>
      </c>
      <c r="L612" s="98" t="s">
        <v>393</v>
      </c>
    </row>
    <row r="613" spans="3:12" x14ac:dyDescent="0.25">
      <c r="C613" s="171" t="s">
        <v>58</v>
      </c>
      <c r="D613" s="163"/>
      <c r="E613" s="154">
        <v>0</v>
      </c>
      <c r="F613" s="100">
        <v>0</v>
      </c>
      <c r="G613" s="97">
        <f>F613</f>
        <v>0</v>
      </c>
      <c r="H613" s="164"/>
      <c r="I613" s="101" t="s">
        <v>704</v>
      </c>
      <c r="J613" s="101" t="str">
        <f>VLOOKUP(I613,Presupuesto!$B$11:$C$565,2,0)</f>
        <v>OTROS SERVICIOS TECNICOS Y PROFESIONALES</v>
      </c>
      <c r="K613" s="98" t="str">
        <f t="shared" si="17"/>
        <v>Posgrado</v>
      </c>
      <c r="L613" s="98" t="s">
        <v>393</v>
      </c>
    </row>
    <row r="614" spans="3:12" ht="15.75" thickBot="1" x14ac:dyDescent="0.3">
      <c r="C614" s="172" t="s">
        <v>59</v>
      </c>
      <c r="D614" s="163"/>
      <c r="E614" s="154">
        <v>0</v>
      </c>
      <c r="F614" s="100">
        <v>0</v>
      </c>
      <c r="G614" s="97">
        <f>F614</f>
        <v>0</v>
      </c>
      <c r="H614" s="164"/>
      <c r="I614" s="101" t="s">
        <v>704</v>
      </c>
      <c r="J614" s="101" t="str">
        <f>VLOOKUP(I614,Presupuesto!$B$11:$C$565,2,0)</f>
        <v>OTROS SERVICIOS TECNICOS Y PROFESIONALES</v>
      </c>
      <c r="K614" s="98" t="str">
        <f t="shared" si="17"/>
        <v>Posgrado</v>
      </c>
      <c r="L614" s="98" t="s">
        <v>393</v>
      </c>
    </row>
    <row r="615" spans="3:12" ht="15.75" thickBot="1" x14ac:dyDescent="0.3">
      <c r="C615" s="140" t="s">
        <v>61</v>
      </c>
      <c r="D615" s="199"/>
      <c r="E615" s="152">
        <v>12</v>
      </c>
      <c r="F615" s="118">
        <v>30000</v>
      </c>
      <c r="G615" s="113">
        <f>D615*E615*F615</f>
        <v>0</v>
      </c>
      <c r="H615" s="166"/>
      <c r="I615" s="114" t="s">
        <v>495</v>
      </c>
      <c r="J615" s="114" t="str">
        <f>VLOOKUP(I615,Presupuesto!$B$11:$C$565,2,0)</f>
        <v>SUELDOS Y SALARIOS PERMANENTES</v>
      </c>
      <c r="K615" s="98" t="str">
        <f t="shared" si="17"/>
        <v>Posgrado</v>
      </c>
      <c r="L615" s="98" t="s">
        <v>393</v>
      </c>
    </row>
    <row r="616" spans="3:12" x14ac:dyDescent="0.25">
      <c r="C616" s="171" t="s">
        <v>58</v>
      </c>
      <c r="D616" s="169"/>
      <c r="E616" s="131">
        <v>0</v>
      </c>
      <c r="F616" s="119">
        <f>IF(E615=0,"",(G615/E615)/12*E615)</f>
        <v>0</v>
      </c>
      <c r="G616" s="120">
        <f>F616</f>
        <v>0</v>
      </c>
      <c r="H616" s="164"/>
      <c r="I616" s="101" t="s">
        <v>515</v>
      </c>
      <c r="J616" s="101" t="str">
        <f>VLOOKUP(I616,Presupuesto!$B$11:$C$565,2,0)</f>
        <v>AGUINALDO Y DECIMO CUARTO MES</v>
      </c>
      <c r="K616" s="98" t="str">
        <f t="shared" si="17"/>
        <v>Posgrado</v>
      </c>
      <c r="L616" s="98" t="s">
        <v>393</v>
      </c>
    </row>
    <row r="617" spans="3:12" ht="15.75" thickBot="1" x14ac:dyDescent="0.3">
      <c r="C617" s="173" t="s">
        <v>59</v>
      </c>
      <c r="D617" s="162"/>
      <c r="E617" s="132">
        <v>0</v>
      </c>
      <c r="F617" s="105">
        <f>IF(E615&lt;6,"",((E615-6)/12)*(G615/E615))</f>
        <v>0</v>
      </c>
      <c r="G617" s="105">
        <f>F617</f>
        <v>0</v>
      </c>
      <c r="H617" s="162"/>
      <c r="I617" s="106" t="s">
        <v>518</v>
      </c>
      <c r="J617" s="124" t="str">
        <f>VLOOKUP(I617,Presupuesto!$B$11:$C$565,2,0)</f>
        <v>DECIMOCUARTO MES</v>
      </c>
      <c r="K617" s="106" t="str">
        <f t="shared" si="17"/>
        <v>Posgrado</v>
      </c>
      <c r="L617" s="124" t="s">
        <v>393</v>
      </c>
    </row>
    <row r="619" spans="3:12" ht="15.75" thickBot="1" x14ac:dyDescent="0.3"/>
    <row r="620" spans="3:12" ht="15.75" thickBot="1" x14ac:dyDescent="0.3">
      <c r="C620" s="69" t="s">
        <v>43</v>
      </c>
      <c r="D620" s="30">
        <f>SUM(G627:G677)</f>
        <v>0</v>
      </c>
      <c r="E620" s="93"/>
      <c r="F620" s="93"/>
      <c r="G620" s="93"/>
      <c r="H620" s="76"/>
      <c r="I620" s="76"/>
      <c r="J620" s="76"/>
    </row>
    <row r="621" spans="3:12" x14ac:dyDescent="0.25">
      <c r="D621" s="31"/>
      <c r="E621" s="93"/>
      <c r="F621" s="93"/>
      <c r="G621" s="93"/>
      <c r="H621" s="76"/>
      <c r="I621" s="76"/>
      <c r="J621" s="76"/>
      <c r="K621" s="153"/>
    </row>
    <row r="622" spans="3:12" x14ac:dyDescent="0.25">
      <c r="D622" s="31"/>
      <c r="E622" s="93"/>
      <c r="F622" s="93"/>
      <c r="G622" s="93"/>
      <c r="H622" s="76"/>
      <c r="I622" s="76"/>
      <c r="J622" s="76"/>
      <c r="K622" s="153"/>
    </row>
    <row r="623" spans="3:12" ht="15.75" x14ac:dyDescent="0.25">
      <c r="C623" s="202" t="s">
        <v>391</v>
      </c>
      <c r="D623" s="368"/>
      <c r="E623" s="93"/>
      <c r="F623" s="93"/>
      <c r="G623" s="93"/>
      <c r="H623" s="76"/>
      <c r="I623" s="76"/>
      <c r="J623" s="76"/>
      <c r="K623" s="153"/>
    </row>
    <row r="624" spans="3:12" ht="18.75" x14ac:dyDescent="0.25">
      <c r="C624" s="210" t="e">
        <f>IFERROR(VLOOKUP(D623,'1. Desarrollo e Innov. Curricu.'!$F:$G,2,FALSE),IFERROR(VLOOKUP(D623,'2. Investigación Científica'!$F:$G,2,FALSE),IFERROR(VLOOKUP(D623,'3. Vinculación Univ. Sociedad'!$F:$G,2,FALSE),IFERROR(VLOOKUP(D623,'4. Docencia y Profesorado Univ.'!$F:$G,2,FALSE),IFERROR(VLOOKUP(D623,'5. Estudiantes y Graduados'!$F:$G,2,FALSE),IFERROR(VLOOKUP(D623,'11. Gestion Administrativa'!$F:$G,2,FALSE),IFERROR(VLOOKUP(D623,'13. Gestión Académica'!$F:$G,2,FALSE),IFERROR(VLOOKUP(D623,'9. Asegura. de la Calid. y M'!$F:$G,2,FALSE),IFERROR(VLOOKUP(D623,'6. Gestión del Conocimiento'!$F:$G,2,FALSE),IFERROR(VLOOKUP(D623,'15. Gobernabilidad y Proceso...'!$F:$G,2,FALSE),IFERROR(VLOOKUP(D623,'12. Gestión del Talento Humano'!$F:$G,2,FALSE),IFERROR(VLOOKUP(D623,'14. Internacional... de la E.S.'!$F:$G,2,FALSE),IFERROR(VLOOKUP(D623,'10. Posgrado'!$F:$G,2,FALSE),IFERROR(VLOOKUP(D623,'17. Gestión TIC'!$F:$G,2,FALSE),IFERROR(VLOOKUP(D623,'16. Desa. del Sistema Educ.Sup.'!$F:$G,2,FALSE),IFERROR(VLOOKUP(D623,'8. Cultura de Inno. Insti...'!$F:$G,2,FALSE),VLOOKUP(D623,'7. Lo Esencial de la Reforma U.'!$F:$G,2,0)))))))))))))))))</f>
        <v>#N/A</v>
      </c>
      <c r="D624" s="31"/>
      <c r="E624" s="93"/>
      <c r="F624" s="93"/>
      <c r="G624" s="93"/>
      <c r="H624" s="76"/>
      <c r="I624" s="76"/>
      <c r="J624" s="76"/>
      <c r="K624" s="153"/>
    </row>
    <row r="625" spans="3:12" ht="15.75" thickBot="1" x14ac:dyDescent="0.3">
      <c r="C625" s="177"/>
      <c r="D625" s="31"/>
      <c r="E625" s="93"/>
      <c r="F625" s="93"/>
      <c r="G625" s="93"/>
      <c r="H625" s="76"/>
      <c r="I625" s="76"/>
      <c r="J625" s="76"/>
      <c r="K625" s="153"/>
    </row>
    <row r="626" spans="3:12" ht="30.75" thickBot="1" x14ac:dyDescent="0.3">
      <c r="C626" s="134" t="s">
        <v>44</v>
      </c>
      <c r="D626" s="138" t="s">
        <v>55</v>
      </c>
      <c r="E626" s="170" t="s">
        <v>56</v>
      </c>
      <c r="F626" s="138" t="s">
        <v>57</v>
      </c>
      <c r="G626" s="135" t="s">
        <v>27</v>
      </c>
      <c r="H626" s="133" t="s">
        <v>130</v>
      </c>
      <c r="I626" s="136" t="s">
        <v>46</v>
      </c>
      <c r="J626" s="136" t="s">
        <v>131</v>
      </c>
      <c r="K626" s="136" t="s">
        <v>409</v>
      </c>
      <c r="L626" s="136" t="s">
        <v>410</v>
      </c>
    </row>
    <row r="627" spans="3:12" ht="15.75" thickBot="1" x14ac:dyDescent="0.3">
      <c r="C627" s="137" t="s">
        <v>481</v>
      </c>
      <c r="D627" s="199"/>
      <c r="E627" s="152">
        <v>12</v>
      </c>
      <c r="F627" s="303">
        <f>HLOOKUP($C627,$BZ$2:$CM$3,2,0)</f>
        <v>43674.39</v>
      </c>
      <c r="G627" s="113">
        <f>D627*E627*F627</f>
        <v>0</v>
      </c>
      <c r="H627" s="166"/>
      <c r="I627" s="114" t="s">
        <v>495</v>
      </c>
      <c r="J627" s="114" t="str">
        <f>VLOOKUP(I627,Presupuesto!$B$11:$C$565,2,0)</f>
        <v>SUELDOS Y SALARIOS PERMANENTES</v>
      </c>
      <c r="K627" s="218" t="s">
        <v>1449</v>
      </c>
      <c r="L627" s="98" t="s">
        <v>393</v>
      </c>
    </row>
    <row r="628" spans="3:12" x14ac:dyDescent="0.25">
      <c r="C628" s="171" t="s">
        <v>58</v>
      </c>
      <c r="D628" s="163"/>
      <c r="E628" s="154">
        <v>0</v>
      </c>
      <c r="F628" s="100">
        <f>IF(E627=0,"",(G627/E627)/12*E627)</f>
        <v>0</v>
      </c>
      <c r="G628" s="97">
        <f>F628</f>
        <v>0</v>
      </c>
      <c r="H628" s="164"/>
      <c r="I628" s="116" t="s">
        <v>515</v>
      </c>
      <c r="J628" s="116" t="str">
        <f>VLOOKUP(I628,Presupuesto!$B$11:$C$565,2,0)</f>
        <v>AGUINALDO Y DECIMO CUARTO MES</v>
      </c>
      <c r="K628" s="98" t="str">
        <f t="shared" ref="K628:K659" si="18">$K$627</f>
        <v>Posgrado</v>
      </c>
      <c r="L628" s="98" t="s">
        <v>411</v>
      </c>
    </row>
    <row r="629" spans="3:12" ht="15.75" thickBot="1" x14ac:dyDescent="0.3">
      <c r="C629" s="172" t="s">
        <v>59</v>
      </c>
      <c r="D629" s="163"/>
      <c r="E629" s="154">
        <v>0</v>
      </c>
      <c r="F629" s="117">
        <f>IF(E627&lt;6,"",((E627-6)/12)*(G627/E627))</f>
        <v>0</v>
      </c>
      <c r="G629" s="97">
        <f>F629</f>
        <v>0</v>
      </c>
      <c r="H629" s="164"/>
      <c r="I629" s="101" t="s">
        <v>518</v>
      </c>
      <c r="J629" s="101" t="str">
        <f>VLOOKUP(I629,Presupuesto!$B$11:$C$565,2,0)</f>
        <v>DECIMOCUARTO MES</v>
      </c>
      <c r="K629" s="98" t="str">
        <f t="shared" si="18"/>
        <v>Posgrado</v>
      </c>
      <c r="L629" s="98" t="s">
        <v>394</v>
      </c>
    </row>
    <row r="630" spans="3:12" ht="15.75" thickBot="1" x14ac:dyDescent="0.3">
      <c r="C630" s="137" t="s">
        <v>482</v>
      </c>
      <c r="D630" s="199"/>
      <c r="E630" s="152">
        <v>12</v>
      </c>
      <c r="F630" s="303">
        <f>HLOOKUP($C630,$BZ$2:$CM$3,2,0)</f>
        <v>39703.99</v>
      </c>
      <c r="G630" s="113">
        <f>D630*E630*F630</f>
        <v>0</v>
      </c>
      <c r="H630" s="166"/>
      <c r="I630" s="114" t="s">
        <v>495</v>
      </c>
      <c r="J630" s="114" t="str">
        <f>VLOOKUP(I630,Presupuesto!$B$11:$C$565,2,0)</f>
        <v>SUELDOS Y SALARIOS PERMANENTES</v>
      </c>
      <c r="K630" s="98" t="str">
        <f t="shared" si="18"/>
        <v>Posgrado</v>
      </c>
      <c r="L630" s="98" t="s">
        <v>394</v>
      </c>
    </row>
    <row r="631" spans="3:12" x14ac:dyDescent="0.25">
      <c r="C631" s="171" t="s">
        <v>58</v>
      </c>
      <c r="D631" s="163"/>
      <c r="E631" s="154">
        <v>0</v>
      </c>
      <c r="F631" s="100">
        <f>IF(E630=0,"",(G630/E630)/12*E630)</f>
        <v>0</v>
      </c>
      <c r="G631" s="97">
        <f>F631</f>
        <v>0</v>
      </c>
      <c r="H631" s="164"/>
      <c r="I631" s="116" t="s">
        <v>515</v>
      </c>
      <c r="J631" s="116" t="str">
        <f>VLOOKUP(I631,Presupuesto!$B$11:$C$565,2,0)</f>
        <v>AGUINALDO Y DECIMO CUARTO MES</v>
      </c>
      <c r="K631" s="98" t="str">
        <f t="shared" si="18"/>
        <v>Posgrado</v>
      </c>
      <c r="L631" s="98" t="s">
        <v>394</v>
      </c>
    </row>
    <row r="632" spans="3:12" ht="15.75" thickBot="1" x14ac:dyDescent="0.3">
      <c r="C632" s="172" t="s">
        <v>59</v>
      </c>
      <c r="D632" s="163"/>
      <c r="E632" s="154">
        <v>0</v>
      </c>
      <c r="F632" s="117">
        <f>IF(E630&lt;6,"",((E630-6)/12)*(G630/E630))</f>
        <v>0</v>
      </c>
      <c r="G632" s="97">
        <f>F632</f>
        <v>0</v>
      </c>
      <c r="H632" s="164"/>
      <c r="I632" s="101" t="s">
        <v>518</v>
      </c>
      <c r="J632" s="101" t="str">
        <f>VLOOKUP(I632,Presupuesto!$B$11:$C$565,2,0)</f>
        <v>DECIMOCUARTO MES</v>
      </c>
      <c r="K632" s="98" t="str">
        <f t="shared" si="18"/>
        <v>Posgrado</v>
      </c>
      <c r="L632" s="98" t="s">
        <v>394</v>
      </c>
    </row>
    <row r="633" spans="3:12" ht="15.75" thickBot="1" x14ac:dyDescent="0.3">
      <c r="C633" s="137" t="s">
        <v>483</v>
      </c>
      <c r="D633" s="199"/>
      <c r="E633" s="152">
        <v>12</v>
      </c>
      <c r="F633" s="303">
        <f>HLOOKUP($C633,$BZ$2:$CM$3,2,0)</f>
        <v>35733.589999999997</v>
      </c>
      <c r="G633" s="113">
        <f>D633*E633*F633</f>
        <v>0</v>
      </c>
      <c r="H633" s="166"/>
      <c r="I633" s="114" t="s">
        <v>495</v>
      </c>
      <c r="J633" s="114" t="str">
        <f>VLOOKUP(I633,Presupuesto!$B$11:$C$565,2,0)</f>
        <v>SUELDOS Y SALARIOS PERMANENTES</v>
      </c>
      <c r="K633" s="98" t="str">
        <f t="shared" si="18"/>
        <v>Posgrado</v>
      </c>
      <c r="L633" s="98" t="s">
        <v>394</v>
      </c>
    </row>
    <row r="634" spans="3:12" x14ac:dyDescent="0.25">
      <c r="C634" s="171" t="s">
        <v>58</v>
      </c>
      <c r="D634" s="163"/>
      <c r="E634" s="154">
        <v>0</v>
      </c>
      <c r="F634" s="100">
        <f>IF(E633=0,"",(G633/E633)/12*E633)</f>
        <v>0</v>
      </c>
      <c r="G634" s="97">
        <f>F634</f>
        <v>0</v>
      </c>
      <c r="H634" s="164"/>
      <c r="I634" s="116" t="s">
        <v>515</v>
      </c>
      <c r="J634" s="116" t="str">
        <f>VLOOKUP(I634,Presupuesto!$B$11:$C$565,2,0)</f>
        <v>AGUINALDO Y DECIMO CUARTO MES</v>
      </c>
      <c r="K634" s="98" t="str">
        <f t="shared" si="18"/>
        <v>Posgrado</v>
      </c>
      <c r="L634" s="98" t="s">
        <v>394</v>
      </c>
    </row>
    <row r="635" spans="3:12" ht="15.75" thickBot="1" x14ac:dyDescent="0.3">
      <c r="C635" s="172" t="s">
        <v>59</v>
      </c>
      <c r="D635" s="163"/>
      <c r="E635" s="154">
        <v>0</v>
      </c>
      <c r="F635" s="117">
        <f>IF(E633&lt;6,"",((E633-6)/12)*(G633/E633))</f>
        <v>0</v>
      </c>
      <c r="G635" s="97">
        <f>F635</f>
        <v>0</v>
      </c>
      <c r="H635" s="164"/>
      <c r="I635" s="101" t="s">
        <v>518</v>
      </c>
      <c r="J635" s="101" t="str">
        <f>VLOOKUP(I635,Presupuesto!$B$11:$C$565,2,0)</f>
        <v>DECIMOCUARTO MES</v>
      </c>
      <c r="K635" s="98" t="str">
        <f t="shared" si="18"/>
        <v>Posgrado</v>
      </c>
      <c r="L635" s="98" t="s">
        <v>394</v>
      </c>
    </row>
    <row r="636" spans="3:12" ht="15.75" thickBot="1" x14ac:dyDescent="0.3">
      <c r="C636" s="137" t="s">
        <v>484</v>
      </c>
      <c r="D636" s="199"/>
      <c r="E636" s="152">
        <v>12</v>
      </c>
      <c r="F636" s="303">
        <f>HLOOKUP($C636,$BZ$2:$CM$3,2,0)</f>
        <v>31763.19</v>
      </c>
      <c r="G636" s="113">
        <f>D636*E636*F636</f>
        <v>0</v>
      </c>
      <c r="H636" s="166"/>
      <c r="I636" s="114" t="s">
        <v>495</v>
      </c>
      <c r="J636" s="114" t="str">
        <f>VLOOKUP(I636,Presupuesto!$B$11:$C$565,2,0)</f>
        <v>SUELDOS Y SALARIOS PERMANENTES</v>
      </c>
      <c r="K636" s="98" t="str">
        <f t="shared" si="18"/>
        <v>Posgrado</v>
      </c>
      <c r="L636" s="98" t="s">
        <v>394</v>
      </c>
    </row>
    <row r="637" spans="3:12" x14ac:dyDescent="0.25">
      <c r="C637" s="171" t="s">
        <v>58</v>
      </c>
      <c r="D637" s="163"/>
      <c r="E637" s="154">
        <v>0</v>
      </c>
      <c r="F637" s="100">
        <f>IF(E636=0,"",(G636/E636)/12*E636)</f>
        <v>0</v>
      </c>
      <c r="G637" s="97">
        <f>F637</f>
        <v>0</v>
      </c>
      <c r="H637" s="164"/>
      <c r="I637" s="116" t="s">
        <v>515</v>
      </c>
      <c r="J637" s="116" t="str">
        <f>VLOOKUP(I637,Presupuesto!$B$11:$C$565,2,0)</f>
        <v>AGUINALDO Y DECIMO CUARTO MES</v>
      </c>
      <c r="K637" s="98" t="str">
        <f t="shared" si="18"/>
        <v>Posgrado</v>
      </c>
      <c r="L637" s="98" t="s">
        <v>394</v>
      </c>
    </row>
    <row r="638" spans="3:12" ht="15.75" thickBot="1" x14ac:dyDescent="0.3">
      <c r="C638" s="172" t="s">
        <v>59</v>
      </c>
      <c r="D638" s="163"/>
      <c r="E638" s="154">
        <v>0</v>
      </c>
      <c r="F638" s="117">
        <f>IF(E636&lt;6,"",((E636-6)/12)*(G636/E636))</f>
        <v>0</v>
      </c>
      <c r="G638" s="97">
        <f>F638</f>
        <v>0</v>
      </c>
      <c r="H638" s="164"/>
      <c r="I638" s="101" t="s">
        <v>518</v>
      </c>
      <c r="J638" s="101" t="str">
        <f>VLOOKUP(I638,Presupuesto!$B$11:$C$565,2,0)</f>
        <v>DECIMOCUARTO MES</v>
      </c>
      <c r="K638" s="98" t="str">
        <f t="shared" si="18"/>
        <v>Posgrado</v>
      </c>
      <c r="L638" s="98" t="s">
        <v>394</v>
      </c>
    </row>
    <row r="639" spans="3:12" ht="15.75" thickBot="1" x14ac:dyDescent="0.3">
      <c r="C639" s="137" t="s">
        <v>485</v>
      </c>
      <c r="D639" s="199"/>
      <c r="E639" s="152">
        <v>12</v>
      </c>
      <c r="F639" s="303">
        <f>HLOOKUP($C639,$BZ$2:$CM$3,2,0)</f>
        <v>29777.99</v>
      </c>
      <c r="G639" s="113">
        <f>D639*E639*F639</f>
        <v>0</v>
      </c>
      <c r="H639" s="166"/>
      <c r="I639" s="114" t="s">
        <v>495</v>
      </c>
      <c r="J639" s="114" t="str">
        <f>VLOOKUP(I639,Presupuesto!$B$11:$C$565,2,0)</f>
        <v>SUELDOS Y SALARIOS PERMANENTES</v>
      </c>
      <c r="K639" s="98" t="str">
        <f t="shared" si="18"/>
        <v>Posgrado</v>
      </c>
      <c r="L639" s="98" t="s">
        <v>394</v>
      </c>
    </row>
    <row r="640" spans="3:12" x14ac:dyDescent="0.25">
      <c r="C640" s="171" t="s">
        <v>58</v>
      </c>
      <c r="D640" s="163"/>
      <c r="E640" s="154">
        <v>0</v>
      </c>
      <c r="F640" s="100">
        <f>IF(E639=0,"",(G639/E639)/12*E639)</f>
        <v>0</v>
      </c>
      <c r="G640" s="97">
        <f>F640</f>
        <v>0</v>
      </c>
      <c r="H640" s="164"/>
      <c r="I640" s="116" t="s">
        <v>515</v>
      </c>
      <c r="J640" s="116" t="str">
        <f>VLOOKUP(I640,Presupuesto!$B$11:$C$565,2,0)</f>
        <v>AGUINALDO Y DECIMO CUARTO MES</v>
      </c>
      <c r="K640" s="98" t="str">
        <f t="shared" si="18"/>
        <v>Posgrado</v>
      </c>
      <c r="L640" s="98" t="s">
        <v>394</v>
      </c>
    </row>
    <row r="641" spans="3:12" ht="15.75" thickBot="1" x14ac:dyDescent="0.3">
      <c r="C641" s="172" t="s">
        <v>59</v>
      </c>
      <c r="D641" s="163"/>
      <c r="E641" s="154">
        <v>0</v>
      </c>
      <c r="F641" s="117">
        <f>IF(E639&lt;6,"",((E639-6)/12)*(G639/E639))</f>
        <v>0</v>
      </c>
      <c r="G641" s="97">
        <f>F641</f>
        <v>0</v>
      </c>
      <c r="H641" s="164"/>
      <c r="I641" s="101" t="s">
        <v>518</v>
      </c>
      <c r="J641" s="101" t="str">
        <f>VLOOKUP(I641,Presupuesto!$B$11:$C$565,2,0)</f>
        <v>DECIMOCUARTO MES</v>
      </c>
      <c r="K641" s="98" t="str">
        <f t="shared" si="18"/>
        <v>Posgrado</v>
      </c>
      <c r="L641" s="98" t="s">
        <v>394</v>
      </c>
    </row>
    <row r="642" spans="3:12" ht="15.75" thickBot="1" x14ac:dyDescent="0.3">
      <c r="C642" s="137" t="s">
        <v>486</v>
      </c>
      <c r="D642" s="199"/>
      <c r="E642" s="152">
        <v>12</v>
      </c>
      <c r="F642" s="303">
        <f>HLOOKUP($C642,$BZ$2:$CM$3,2,0)</f>
        <v>27792.79</v>
      </c>
      <c r="G642" s="113">
        <f>D642*E642*F642</f>
        <v>0</v>
      </c>
      <c r="H642" s="166"/>
      <c r="I642" s="114" t="s">
        <v>495</v>
      </c>
      <c r="J642" s="114" t="str">
        <f>VLOOKUP(I642,Presupuesto!$B$11:$C$565,2,0)</f>
        <v>SUELDOS Y SALARIOS PERMANENTES</v>
      </c>
      <c r="K642" s="98" t="str">
        <f t="shared" si="18"/>
        <v>Posgrado</v>
      </c>
      <c r="L642" s="98" t="s">
        <v>394</v>
      </c>
    </row>
    <row r="643" spans="3:12" x14ac:dyDescent="0.25">
      <c r="C643" s="171" t="s">
        <v>58</v>
      </c>
      <c r="D643" s="163"/>
      <c r="E643" s="154">
        <v>0</v>
      </c>
      <c r="F643" s="100">
        <f>IF(E642=0,"",(G642/E642)/12*E642)</f>
        <v>0</v>
      </c>
      <c r="G643" s="97">
        <f>F643</f>
        <v>0</v>
      </c>
      <c r="H643" s="164"/>
      <c r="I643" s="116" t="s">
        <v>515</v>
      </c>
      <c r="J643" s="116" t="str">
        <f>VLOOKUP(I643,Presupuesto!$B$11:$C$565,2,0)</f>
        <v>AGUINALDO Y DECIMO CUARTO MES</v>
      </c>
      <c r="K643" s="98" t="str">
        <f t="shared" si="18"/>
        <v>Posgrado</v>
      </c>
      <c r="L643" s="98" t="s">
        <v>394</v>
      </c>
    </row>
    <row r="644" spans="3:12" ht="15.75" thickBot="1" x14ac:dyDescent="0.3">
      <c r="C644" s="172" t="s">
        <v>59</v>
      </c>
      <c r="D644" s="163"/>
      <c r="E644" s="154">
        <v>0</v>
      </c>
      <c r="F644" s="117">
        <f>IF(E642&lt;6,"",((E642-6)/12)*(G642/E642))</f>
        <v>0</v>
      </c>
      <c r="G644" s="97">
        <f>F644</f>
        <v>0</v>
      </c>
      <c r="H644" s="164"/>
      <c r="I644" s="101" t="s">
        <v>518</v>
      </c>
      <c r="J644" s="101" t="str">
        <f>VLOOKUP(I644,Presupuesto!$B$11:$C$565,2,0)</f>
        <v>DECIMOCUARTO MES</v>
      </c>
      <c r="K644" s="98" t="str">
        <f t="shared" si="18"/>
        <v>Posgrado</v>
      </c>
      <c r="L644" s="98" t="s">
        <v>394</v>
      </c>
    </row>
    <row r="645" spans="3:12" ht="15.75" thickBot="1" x14ac:dyDescent="0.3">
      <c r="C645" s="137" t="s">
        <v>487</v>
      </c>
      <c r="D645" s="199"/>
      <c r="E645" s="152">
        <v>12</v>
      </c>
      <c r="F645" s="303">
        <f>HLOOKUP($C645,$BZ$2:$CM$3,2,0)</f>
        <v>18859.39</v>
      </c>
      <c r="G645" s="113">
        <f>D645*E645*F645</f>
        <v>0</v>
      </c>
      <c r="H645" s="166"/>
      <c r="I645" s="114" t="s">
        <v>495</v>
      </c>
      <c r="J645" s="114" t="str">
        <f>VLOOKUP(I645,Presupuesto!$B$11:$C$565,2,0)</f>
        <v>SUELDOS Y SALARIOS PERMANENTES</v>
      </c>
      <c r="K645" s="98" t="str">
        <f t="shared" si="18"/>
        <v>Posgrado</v>
      </c>
      <c r="L645" s="98" t="s">
        <v>394</v>
      </c>
    </row>
    <row r="646" spans="3:12" x14ac:dyDescent="0.25">
      <c r="C646" s="171" t="s">
        <v>58</v>
      </c>
      <c r="D646" s="163"/>
      <c r="E646" s="154">
        <v>0</v>
      </c>
      <c r="F646" s="100">
        <f>IF(E645=0,"",(G645/E645)/12*E645)</f>
        <v>0</v>
      </c>
      <c r="G646" s="97">
        <f>F646</f>
        <v>0</v>
      </c>
      <c r="H646" s="164"/>
      <c r="I646" s="116" t="s">
        <v>515</v>
      </c>
      <c r="J646" s="116" t="str">
        <f>VLOOKUP(I646,Presupuesto!$B$11:$C$565,2,0)</f>
        <v>AGUINALDO Y DECIMO CUARTO MES</v>
      </c>
      <c r="K646" s="98" t="str">
        <f t="shared" si="18"/>
        <v>Posgrado</v>
      </c>
      <c r="L646" s="98" t="s">
        <v>394</v>
      </c>
    </row>
    <row r="647" spans="3:12" ht="15.75" thickBot="1" x14ac:dyDescent="0.3">
      <c r="C647" s="172" t="s">
        <v>59</v>
      </c>
      <c r="D647" s="163"/>
      <c r="E647" s="154">
        <v>0</v>
      </c>
      <c r="F647" s="117">
        <f>IF(E645&lt;6,"",((E645-6)/12)*(G645/E645))</f>
        <v>0</v>
      </c>
      <c r="G647" s="97">
        <f>F647</f>
        <v>0</v>
      </c>
      <c r="H647" s="164"/>
      <c r="I647" s="101" t="s">
        <v>518</v>
      </c>
      <c r="J647" s="101" t="str">
        <f>VLOOKUP(I647,Presupuesto!$B$11:$C$565,2,0)</f>
        <v>DECIMOCUARTO MES</v>
      </c>
      <c r="K647" s="98" t="str">
        <f t="shared" si="18"/>
        <v>Posgrado</v>
      </c>
      <c r="L647" s="98" t="s">
        <v>394</v>
      </c>
    </row>
    <row r="648" spans="3:12" ht="15.75" thickBot="1" x14ac:dyDescent="0.3">
      <c r="C648" s="137" t="s">
        <v>488</v>
      </c>
      <c r="D648" s="199"/>
      <c r="E648" s="152">
        <v>12</v>
      </c>
      <c r="F648" s="303">
        <f>HLOOKUP($C648,$BZ$2:$CM$3,2,0)</f>
        <v>17866.8</v>
      </c>
      <c r="G648" s="113">
        <f>D648*E648*F648</f>
        <v>0</v>
      </c>
      <c r="H648" s="166"/>
      <c r="I648" s="114" t="s">
        <v>495</v>
      </c>
      <c r="J648" s="114" t="str">
        <f>VLOOKUP(I648,Presupuesto!$B$11:$C$565,2,0)</f>
        <v>SUELDOS Y SALARIOS PERMANENTES</v>
      </c>
      <c r="K648" s="98" t="str">
        <f t="shared" si="18"/>
        <v>Posgrado</v>
      </c>
      <c r="L648" s="98" t="s">
        <v>394</v>
      </c>
    </row>
    <row r="649" spans="3:12" x14ac:dyDescent="0.25">
      <c r="C649" s="171" t="s">
        <v>58</v>
      </c>
      <c r="D649" s="163"/>
      <c r="E649" s="154">
        <v>0</v>
      </c>
      <c r="F649" s="100">
        <f>IF(E648=0,"",(G648/E648)/12*E648)</f>
        <v>0</v>
      </c>
      <c r="G649" s="97">
        <f>F649</f>
        <v>0</v>
      </c>
      <c r="H649" s="164"/>
      <c r="I649" s="116" t="s">
        <v>515</v>
      </c>
      <c r="J649" s="116" t="str">
        <f>VLOOKUP(I649,Presupuesto!$B$11:$C$565,2,0)</f>
        <v>AGUINALDO Y DECIMO CUARTO MES</v>
      </c>
      <c r="K649" s="98" t="str">
        <f t="shared" si="18"/>
        <v>Posgrado</v>
      </c>
      <c r="L649" s="98" t="s">
        <v>394</v>
      </c>
    </row>
    <row r="650" spans="3:12" ht="15.75" thickBot="1" x14ac:dyDescent="0.3">
      <c r="C650" s="172" t="s">
        <v>59</v>
      </c>
      <c r="D650" s="163"/>
      <c r="E650" s="154">
        <v>0</v>
      </c>
      <c r="F650" s="117">
        <f>IF(E648&lt;6,"",((E648-6)/12)*(G648/E648))</f>
        <v>0</v>
      </c>
      <c r="G650" s="97">
        <f>F650</f>
        <v>0</v>
      </c>
      <c r="H650" s="164"/>
      <c r="I650" s="101" t="s">
        <v>518</v>
      </c>
      <c r="J650" s="101" t="str">
        <f>VLOOKUP(I650,Presupuesto!$B$11:$C$565,2,0)</f>
        <v>DECIMOCUARTO MES</v>
      </c>
      <c r="K650" s="98" t="str">
        <f t="shared" si="18"/>
        <v>Posgrado</v>
      </c>
      <c r="L650" s="98" t="s">
        <v>394</v>
      </c>
    </row>
    <row r="651" spans="3:12" ht="15.75" thickBot="1" x14ac:dyDescent="0.3">
      <c r="C651" s="137" t="s">
        <v>489</v>
      </c>
      <c r="D651" s="199"/>
      <c r="E651" s="152">
        <v>12</v>
      </c>
      <c r="F651" s="303">
        <f>HLOOKUP($C651,$BZ$2:$CM$3,2,0)</f>
        <v>13896.4</v>
      </c>
      <c r="G651" s="113">
        <f>D651*E651*F651</f>
        <v>0</v>
      </c>
      <c r="H651" s="166"/>
      <c r="I651" s="114" t="s">
        <v>495</v>
      </c>
      <c r="J651" s="114" t="str">
        <f>VLOOKUP(I651,Presupuesto!$B$11:$C$565,2,0)</f>
        <v>SUELDOS Y SALARIOS PERMANENTES</v>
      </c>
      <c r="K651" s="98" t="str">
        <f t="shared" si="18"/>
        <v>Posgrado</v>
      </c>
      <c r="L651" s="98" t="s">
        <v>394</v>
      </c>
    </row>
    <row r="652" spans="3:12" x14ac:dyDescent="0.25">
      <c r="C652" s="171" t="s">
        <v>58</v>
      </c>
      <c r="D652" s="163"/>
      <c r="E652" s="154">
        <v>0</v>
      </c>
      <c r="F652" s="100">
        <f>IF(E651=0,"",(G651/E651)/12*E651)</f>
        <v>0</v>
      </c>
      <c r="G652" s="97">
        <f>F652</f>
        <v>0</v>
      </c>
      <c r="H652" s="164"/>
      <c r="I652" s="116" t="s">
        <v>515</v>
      </c>
      <c r="J652" s="116" t="str">
        <f>VLOOKUP(I652,Presupuesto!$B$11:$C$565,2,0)</f>
        <v>AGUINALDO Y DECIMO CUARTO MES</v>
      </c>
      <c r="K652" s="98" t="str">
        <f t="shared" si="18"/>
        <v>Posgrado</v>
      </c>
      <c r="L652" s="98" t="s">
        <v>394</v>
      </c>
    </row>
    <row r="653" spans="3:12" ht="15.75" thickBot="1" x14ac:dyDescent="0.3">
      <c r="C653" s="172" t="s">
        <v>59</v>
      </c>
      <c r="D653" s="163"/>
      <c r="E653" s="154">
        <v>0</v>
      </c>
      <c r="F653" s="117">
        <f>IF(E651&lt;6,"",((E651-6)/12)*(G651/E651))</f>
        <v>0</v>
      </c>
      <c r="G653" s="97">
        <f>F653</f>
        <v>0</v>
      </c>
      <c r="H653" s="164"/>
      <c r="I653" s="101" t="s">
        <v>518</v>
      </c>
      <c r="J653" s="101" t="str">
        <f>VLOOKUP(I653,Presupuesto!$B$11:$C$565,2,0)</f>
        <v>DECIMOCUARTO MES</v>
      </c>
      <c r="K653" s="98" t="str">
        <f t="shared" si="18"/>
        <v>Posgrado</v>
      </c>
      <c r="L653" s="98" t="s">
        <v>394</v>
      </c>
    </row>
    <row r="654" spans="3:12" ht="15.75" thickBot="1" x14ac:dyDescent="0.3">
      <c r="C654" s="137" t="s">
        <v>490</v>
      </c>
      <c r="D654" s="199"/>
      <c r="E654" s="152">
        <v>12</v>
      </c>
      <c r="F654" s="303">
        <f>HLOOKUP($C654,$BZ$2:$CM$3,2,0)</f>
        <v>15004.09</v>
      </c>
      <c r="G654" s="113">
        <f>D654*E654*F654</f>
        <v>0</v>
      </c>
      <c r="H654" s="166"/>
      <c r="I654" s="114" t="s">
        <v>495</v>
      </c>
      <c r="J654" s="114" t="str">
        <f>VLOOKUP(I654,Presupuesto!$B$11:$C$565,2,0)</f>
        <v>SUELDOS Y SALARIOS PERMANENTES</v>
      </c>
      <c r="K654" s="98" t="str">
        <f t="shared" si="18"/>
        <v>Posgrado</v>
      </c>
      <c r="L654" s="98" t="s">
        <v>394</v>
      </c>
    </row>
    <row r="655" spans="3:12" x14ac:dyDescent="0.25">
      <c r="C655" s="171" t="s">
        <v>58</v>
      </c>
      <c r="D655" s="163"/>
      <c r="E655" s="154">
        <v>0</v>
      </c>
      <c r="F655" s="100">
        <f>IF(E654=0,"",(G654/E654)/12*E654)</f>
        <v>0</v>
      </c>
      <c r="G655" s="97">
        <f>F655</f>
        <v>0</v>
      </c>
      <c r="H655" s="164"/>
      <c r="I655" s="116" t="s">
        <v>515</v>
      </c>
      <c r="J655" s="116" t="str">
        <f>VLOOKUP(I655,Presupuesto!$B$11:$C$565,2,0)</f>
        <v>AGUINALDO Y DECIMO CUARTO MES</v>
      </c>
      <c r="K655" s="98" t="str">
        <f t="shared" si="18"/>
        <v>Posgrado</v>
      </c>
      <c r="L655" s="98" t="s">
        <v>394</v>
      </c>
    </row>
    <row r="656" spans="3:12" ht="15.75" thickBot="1" x14ac:dyDescent="0.3">
      <c r="C656" s="172" t="s">
        <v>59</v>
      </c>
      <c r="D656" s="163"/>
      <c r="E656" s="154">
        <v>0</v>
      </c>
      <c r="F656" s="117">
        <f>IF(E654&lt;6,"",((E654-6)/12)*(G654/E654))</f>
        <v>0</v>
      </c>
      <c r="G656" s="97">
        <f>F656</f>
        <v>0</v>
      </c>
      <c r="H656" s="164"/>
      <c r="I656" s="101" t="s">
        <v>518</v>
      </c>
      <c r="J656" s="101" t="str">
        <f>VLOOKUP(I656,Presupuesto!$B$11:$C$565,2,0)</f>
        <v>DECIMOCUARTO MES</v>
      </c>
      <c r="K656" s="98" t="str">
        <f t="shared" si="18"/>
        <v>Posgrado</v>
      </c>
      <c r="L656" s="98" t="s">
        <v>394</v>
      </c>
    </row>
    <row r="657" spans="3:12" ht="15.75" thickBot="1" x14ac:dyDescent="0.3">
      <c r="C657" s="137" t="s">
        <v>491</v>
      </c>
      <c r="D657" s="199"/>
      <c r="E657" s="152">
        <v>12</v>
      </c>
      <c r="F657" s="303">
        <f>HLOOKUP($C657,$BZ$2:$CM$3,2,0)</f>
        <v>13238.9</v>
      </c>
      <c r="G657" s="113">
        <f>D657*E657*F657</f>
        <v>0</v>
      </c>
      <c r="H657" s="166"/>
      <c r="I657" s="114" t="s">
        <v>495</v>
      </c>
      <c r="J657" s="114" t="str">
        <f>VLOOKUP(I657,Presupuesto!$B$11:$C$565,2,0)</f>
        <v>SUELDOS Y SALARIOS PERMANENTES</v>
      </c>
      <c r="K657" s="98" t="str">
        <f t="shared" si="18"/>
        <v>Posgrado</v>
      </c>
      <c r="L657" s="98" t="s">
        <v>394</v>
      </c>
    </row>
    <row r="658" spans="3:12" x14ac:dyDescent="0.25">
      <c r="C658" s="171" t="s">
        <v>58</v>
      </c>
      <c r="D658" s="163"/>
      <c r="E658" s="154">
        <v>0</v>
      </c>
      <c r="F658" s="100">
        <f>IF(E657=0,"",(G657/E657)/12*E657)</f>
        <v>0</v>
      </c>
      <c r="G658" s="97">
        <f>F658</f>
        <v>0</v>
      </c>
      <c r="H658" s="164"/>
      <c r="I658" s="116" t="s">
        <v>515</v>
      </c>
      <c r="J658" s="116" t="str">
        <f>VLOOKUP(I658,Presupuesto!$B$11:$C$565,2,0)</f>
        <v>AGUINALDO Y DECIMO CUARTO MES</v>
      </c>
      <c r="K658" s="98" t="str">
        <f t="shared" si="18"/>
        <v>Posgrado</v>
      </c>
      <c r="L658" s="98" t="s">
        <v>394</v>
      </c>
    </row>
    <row r="659" spans="3:12" ht="15.75" thickBot="1" x14ac:dyDescent="0.3">
      <c r="C659" s="172" t="s">
        <v>59</v>
      </c>
      <c r="D659" s="163"/>
      <c r="E659" s="154">
        <v>0</v>
      </c>
      <c r="F659" s="117">
        <f>IF(E657&lt;6,"",((E657-6)/12)*(G657/E657))</f>
        <v>0</v>
      </c>
      <c r="G659" s="97">
        <f>F659</f>
        <v>0</v>
      </c>
      <c r="H659" s="164"/>
      <c r="I659" s="101" t="s">
        <v>518</v>
      </c>
      <c r="J659" s="101" t="str">
        <f>VLOOKUP(I659,Presupuesto!$B$11:$C$565,2,0)</f>
        <v>DECIMOCUARTO MES</v>
      </c>
      <c r="K659" s="98" t="str">
        <f t="shared" si="18"/>
        <v>Posgrado</v>
      </c>
      <c r="L659" s="98" t="s">
        <v>394</v>
      </c>
    </row>
    <row r="660" spans="3:12" ht="15.75" thickBot="1" x14ac:dyDescent="0.3">
      <c r="C660" s="137" t="s">
        <v>492</v>
      </c>
      <c r="D660" s="199"/>
      <c r="E660" s="152">
        <v>12</v>
      </c>
      <c r="F660" s="303">
        <f>HLOOKUP($C660,$BZ$2:$CM$3,2,0)</f>
        <v>12356.31</v>
      </c>
      <c r="G660" s="113">
        <f>D660*E660*F660</f>
        <v>0</v>
      </c>
      <c r="H660" s="166"/>
      <c r="I660" s="114" t="s">
        <v>495</v>
      </c>
      <c r="J660" s="114" t="str">
        <f>VLOOKUP(I660,Presupuesto!$B$11:$C$565,2,0)</f>
        <v>SUELDOS Y SALARIOS PERMANENTES</v>
      </c>
      <c r="K660" s="98" t="str">
        <f t="shared" ref="K660:K677" si="19">$K$627</f>
        <v>Posgrado</v>
      </c>
      <c r="L660" s="98" t="s">
        <v>394</v>
      </c>
    </row>
    <row r="661" spans="3:12" x14ac:dyDescent="0.25">
      <c r="C661" s="171" t="s">
        <v>58</v>
      </c>
      <c r="D661" s="163"/>
      <c r="E661" s="154">
        <v>0</v>
      </c>
      <c r="F661" s="100">
        <f>IF(E660=0,"",(G660/E660)/12*E660)</f>
        <v>0</v>
      </c>
      <c r="G661" s="97">
        <f>F661</f>
        <v>0</v>
      </c>
      <c r="H661" s="164"/>
      <c r="I661" s="116" t="s">
        <v>515</v>
      </c>
      <c r="J661" s="116" t="str">
        <f>VLOOKUP(I661,Presupuesto!$B$11:$C$565,2,0)</f>
        <v>AGUINALDO Y DECIMO CUARTO MES</v>
      </c>
      <c r="K661" s="98" t="str">
        <f t="shared" si="19"/>
        <v>Posgrado</v>
      </c>
      <c r="L661" s="98" t="s">
        <v>394</v>
      </c>
    </row>
    <row r="662" spans="3:12" ht="15.75" thickBot="1" x14ac:dyDescent="0.3">
      <c r="C662" s="172" t="s">
        <v>59</v>
      </c>
      <c r="D662" s="163"/>
      <c r="E662" s="154">
        <v>0</v>
      </c>
      <c r="F662" s="117">
        <f>IF(E660&lt;6,"",((E660-6)/12)*(G660/E660))</f>
        <v>0</v>
      </c>
      <c r="G662" s="97">
        <f>F662</f>
        <v>0</v>
      </c>
      <c r="H662" s="164"/>
      <c r="I662" s="101" t="s">
        <v>518</v>
      </c>
      <c r="J662" s="101" t="str">
        <f>VLOOKUP(I662,Presupuesto!$B$11:$C$565,2,0)</f>
        <v>DECIMOCUARTO MES</v>
      </c>
      <c r="K662" s="98" t="str">
        <f t="shared" si="19"/>
        <v>Posgrado</v>
      </c>
      <c r="L662" s="98" t="s">
        <v>394</v>
      </c>
    </row>
    <row r="663" spans="3:12" ht="15.75" thickBot="1" x14ac:dyDescent="0.3">
      <c r="C663" s="137" t="s">
        <v>493</v>
      </c>
      <c r="D663" s="199"/>
      <c r="E663" s="152">
        <v>12</v>
      </c>
      <c r="F663" s="303">
        <f>HLOOKUP($C663,$BZ$2:$CM$3,2,0)</f>
        <v>463.22</v>
      </c>
      <c r="G663" s="113">
        <f>D663*E663*F663</f>
        <v>0</v>
      </c>
      <c r="H663" s="166"/>
      <c r="I663" s="114" t="s">
        <v>495</v>
      </c>
      <c r="J663" s="114" t="str">
        <f>VLOOKUP(I663,Presupuesto!$B$11:$C$565,2,0)</f>
        <v>SUELDOS Y SALARIOS PERMANENTES</v>
      </c>
      <c r="K663" s="98" t="str">
        <f t="shared" si="19"/>
        <v>Posgrado</v>
      </c>
      <c r="L663" s="98" t="s">
        <v>394</v>
      </c>
    </row>
    <row r="664" spans="3:12" x14ac:dyDescent="0.25">
      <c r="C664" s="171" t="s">
        <v>58</v>
      </c>
      <c r="D664" s="163"/>
      <c r="E664" s="154">
        <v>0</v>
      </c>
      <c r="F664" s="100">
        <f>IF(E663=0,"",(G663/E663)/12*E663)</f>
        <v>0</v>
      </c>
      <c r="G664" s="97">
        <f>F664</f>
        <v>0</v>
      </c>
      <c r="H664" s="164"/>
      <c r="I664" s="116" t="s">
        <v>515</v>
      </c>
      <c r="J664" s="116" t="str">
        <f>VLOOKUP(I664,Presupuesto!$B$11:$C$565,2,0)</f>
        <v>AGUINALDO Y DECIMO CUARTO MES</v>
      </c>
      <c r="K664" s="98" t="str">
        <f t="shared" si="19"/>
        <v>Posgrado</v>
      </c>
      <c r="L664" s="98" t="s">
        <v>394</v>
      </c>
    </row>
    <row r="665" spans="3:12" ht="15.75" thickBot="1" x14ac:dyDescent="0.3">
      <c r="C665" s="172" t="s">
        <v>59</v>
      </c>
      <c r="D665" s="163"/>
      <c r="E665" s="154">
        <v>0</v>
      </c>
      <c r="F665" s="117">
        <f>IF(E663&lt;6,"",((E663-6)/12)*(G663/E663))</f>
        <v>0</v>
      </c>
      <c r="G665" s="97">
        <f>F665</f>
        <v>0</v>
      </c>
      <c r="H665" s="164"/>
      <c r="I665" s="101" t="s">
        <v>518</v>
      </c>
      <c r="J665" s="101" t="str">
        <f>VLOOKUP(I665,Presupuesto!$B$11:$C$565,2,0)</f>
        <v>DECIMOCUARTO MES</v>
      </c>
      <c r="K665" s="98" t="str">
        <f t="shared" si="19"/>
        <v>Posgrado</v>
      </c>
      <c r="L665" s="98" t="s">
        <v>394</v>
      </c>
    </row>
    <row r="666" spans="3:12" ht="15.75" thickBot="1" x14ac:dyDescent="0.3">
      <c r="C666" s="137" t="s">
        <v>494</v>
      </c>
      <c r="D666" s="199"/>
      <c r="E666" s="152">
        <v>12</v>
      </c>
      <c r="F666" s="303">
        <f>HLOOKUP($C666,$BZ$2:$CM$3,2,0)</f>
        <v>2007.3</v>
      </c>
      <c r="G666" s="113">
        <f>D666*E666*F666</f>
        <v>0</v>
      </c>
      <c r="H666" s="166"/>
      <c r="I666" s="114" t="s">
        <v>495</v>
      </c>
      <c r="J666" s="114" t="str">
        <f>VLOOKUP(I666,Presupuesto!$B$11:$C$565,2,0)</f>
        <v>SUELDOS Y SALARIOS PERMANENTES</v>
      </c>
      <c r="K666" s="98" t="str">
        <f t="shared" si="19"/>
        <v>Posgrado</v>
      </c>
      <c r="L666" s="98" t="s">
        <v>394</v>
      </c>
    </row>
    <row r="667" spans="3:12" x14ac:dyDescent="0.25">
      <c r="C667" s="171" t="s">
        <v>58</v>
      </c>
      <c r="D667" s="163"/>
      <c r="E667" s="154">
        <v>0</v>
      </c>
      <c r="F667" s="100">
        <f>IF(E666=0,"",(G666/E666)/12*E666)</f>
        <v>0</v>
      </c>
      <c r="G667" s="97">
        <f>F667</f>
        <v>0</v>
      </c>
      <c r="H667" s="164"/>
      <c r="I667" s="116" t="s">
        <v>515</v>
      </c>
      <c r="J667" s="116" t="str">
        <f>VLOOKUP(I667,Presupuesto!$B$11:$C$565,2,0)</f>
        <v>AGUINALDO Y DECIMO CUARTO MES</v>
      </c>
      <c r="K667" s="98" t="str">
        <f t="shared" si="19"/>
        <v>Posgrado</v>
      </c>
      <c r="L667" s="98" t="s">
        <v>394</v>
      </c>
    </row>
    <row r="668" spans="3:12" ht="15.75" thickBot="1" x14ac:dyDescent="0.3">
      <c r="C668" s="172" t="s">
        <v>59</v>
      </c>
      <c r="D668" s="163"/>
      <c r="E668" s="154">
        <v>0</v>
      </c>
      <c r="F668" s="117">
        <f>IF(E666&lt;6,"",((E666-6)/12)*(G666/E666))</f>
        <v>0</v>
      </c>
      <c r="G668" s="97">
        <f>F668</f>
        <v>0</v>
      </c>
      <c r="H668" s="164"/>
      <c r="I668" s="101" t="s">
        <v>518</v>
      </c>
      <c r="J668" s="101" t="str">
        <f>VLOOKUP(I668,Presupuesto!$B$11:$C$565,2,0)</f>
        <v>DECIMOCUARTO MES</v>
      </c>
      <c r="K668" s="98" t="str">
        <f t="shared" si="19"/>
        <v>Posgrado</v>
      </c>
      <c r="L668" s="98" t="s">
        <v>394</v>
      </c>
    </row>
    <row r="669" spans="3:12" ht="15.75" thickBot="1" x14ac:dyDescent="0.3">
      <c r="C669" s="140" t="s">
        <v>83</v>
      </c>
      <c r="D669" s="199"/>
      <c r="E669" s="152">
        <v>12</v>
      </c>
      <c r="F669" s="139">
        <v>30000</v>
      </c>
      <c r="G669" s="113">
        <f>D669*E669*F669</f>
        <v>0</v>
      </c>
      <c r="H669" s="166"/>
      <c r="I669" s="114" t="s">
        <v>563</v>
      </c>
      <c r="J669" s="114" t="str">
        <f>VLOOKUP(I669,Presupuesto!$B$11:$C$565,2,0)</f>
        <v>CONTRATOS ESPECIALES</v>
      </c>
      <c r="K669" s="98" t="str">
        <f t="shared" si="19"/>
        <v>Posgrado</v>
      </c>
      <c r="L669" s="98" t="s">
        <v>394</v>
      </c>
    </row>
    <row r="670" spans="3:12" x14ac:dyDescent="0.25">
      <c r="C670" s="171" t="s">
        <v>58</v>
      </c>
      <c r="D670" s="163"/>
      <c r="E670" s="154">
        <v>0</v>
      </c>
      <c r="F670" s="117">
        <f>IF(E669=0,"",(G669/E669)/12*E669)</f>
        <v>0</v>
      </c>
      <c r="G670" s="97">
        <f>F670</f>
        <v>0</v>
      </c>
      <c r="H670" s="164"/>
      <c r="I670" s="101" t="s">
        <v>563</v>
      </c>
      <c r="J670" s="101" t="str">
        <f>VLOOKUP(I670,Presupuesto!$B$11:$C$565,2,0)</f>
        <v>CONTRATOS ESPECIALES</v>
      </c>
      <c r="K670" s="98" t="str">
        <f t="shared" si="19"/>
        <v>Posgrado</v>
      </c>
      <c r="L670" s="98" t="s">
        <v>393</v>
      </c>
    </row>
    <row r="671" spans="3:12" ht="15.75" thickBot="1" x14ac:dyDescent="0.3">
      <c r="C671" s="172" t="s">
        <v>59</v>
      </c>
      <c r="D671" s="163"/>
      <c r="E671" s="154">
        <v>0</v>
      </c>
      <c r="F671" s="100">
        <f>IF(E669&lt;6,"",((E669-6)/12)*(G669/E669))</f>
        <v>0</v>
      </c>
      <c r="G671" s="97">
        <f>F671</f>
        <v>0</v>
      </c>
      <c r="H671" s="164"/>
      <c r="I671" s="101" t="s">
        <v>563</v>
      </c>
      <c r="J671" s="101" t="str">
        <f>VLOOKUP(I671,Presupuesto!$B$11:$C$565,2,0)</f>
        <v>CONTRATOS ESPECIALES</v>
      </c>
      <c r="K671" s="98" t="str">
        <f t="shared" si="19"/>
        <v>Posgrado</v>
      </c>
      <c r="L671" s="98" t="s">
        <v>398</v>
      </c>
    </row>
    <row r="672" spans="3:12" ht="15.75" thickBot="1" x14ac:dyDescent="0.3">
      <c r="C672" s="140" t="s">
        <v>60</v>
      </c>
      <c r="D672" s="199"/>
      <c r="E672" s="152">
        <v>12</v>
      </c>
      <c r="F672" s="118">
        <v>30000</v>
      </c>
      <c r="G672" s="113">
        <f>D672*E672*F672</f>
        <v>0</v>
      </c>
      <c r="H672" s="166"/>
      <c r="I672" s="114" t="s">
        <v>704</v>
      </c>
      <c r="J672" s="114" t="str">
        <f>VLOOKUP(I672,Presupuesto!$B$11:$C$565,2,0)</f>
        <v>OTROS SERVICIOS TECNICOS Y PROFESIONALES</v>
      </c>
      <c r="K672" s="98" t="str">
        <f t="shared" si="19"/>
        <v>Posgrado</v>
      </c>
      <c r="L672" s="98" t="s">
        <v>393</v>
      </c>
    </row>
    <row r="673" spans="3:12" x14ac:dyDescent="0.25">
      <c r="C673" s="171" t="s">
        <v>58</v>
      </c>
      <c r="D673" s="163"/>
      <c r="E673" s="154">
        <v>0</v>
      </c>
      <c r="F673" s="100">
        <v>0</v>
      </c>
      <c r="G673" s="97">
        <f>F673</f>
        <v>0</v>
      </c>
      <c r="H673" s="164"/>
      <c r="I673" s="101" t="s">
        <v>704</v>
      </c>
      <c r="J673" s="101" t="str">
        <f>VLOOKUP(I673,Presupuesto!$B$11:$C$565,2,0)</f>
        <v>OTROS SERVICIOS TECNICOS Y PROFESIONALES</v>
      </c>
      <c r="K673" s="98" t="str">
        <f t="shared" si="19"/>
        <v>Posgrado</v>
      </c>
      <c r="L673" s="98" t="s">
        <v>393</v>
      </c>
    </row>
    <row r="674" spans="3:12" ht="15.75" thickBot="1" x14ac:dyDescent="0.3">
      <c r="C674" s="172" t="s">
        <v>59</v>
      </c>
      <c r="D674" s="163"/>
      <c r="E674" s="154">
        <v>0</v>
      </c>
      <c r="F674" s="100">
        <v>0</v>
      </c>
      <c r="G674" s="97">
        <f>F674</f>
        <v>0</v>
      </c>
      <c r="H674" s="164"/>
      <c r="I674" s="101" t="s">
        <v>704</v>
      </c>
      <c r="J674" s="101" t="str">
        <f>VLOOKUP(I674,Presupuesto!$B$11:$C$565,2,0)</f>
        <v>OTROS SERVICIOS TECNICOS Y PROFESIONALES</v>
      </c>
      <c r="K674" s="98" t="str">
        <f t="shared" si="19"/>
        <v>Posgrado</v>
      </c>
      <c r="L674" s="98" t="s">
        <v>393</v>
      </c>
    </row>
    <row r="675" spans="3:12" ht="15.75" thickBot="1" x14ac:dyDescent="0.3">
      <c r="C675" s="140" t="s">
        <v>61</v>
      </c>
      <c r="D675" s="199"/>
      <c r="E675" s="152">
        <v>12</v>
      </c>
      <c r="F675" s="118">
        <v>30000</v>
      </c>
      <c r="G675" s="113">
        <f>D675*E675*F675</f>
        <v>0</v>
      </c>
      <c r="H675" s="166"/>
      <c r="I675" s="114" t="s">
        <v>495</v>
      </c>
      <c r="J675" s="114" t="str">
        <f>VLOOKUP(I675,Presupuesto!$B$11:$C$565,2,0)</f>
        <v>SUELDOS Y SALARIOS PERMANENTES</v>
      </c>
      <c r="K675" s="98" t="str">
        <f t="shared" si="19"/>
        <v>Posgrado</v>
      </c>
      <c r="L675" s="98" t="s">
        <v>393</v>
      </c>
    </row>
    <row r="676" spans="3:12" x14ac:dyDescent="0.25">
      <c r="C676" s="171" t="s">
        <v>58</v>
      </c>
      <c r="D676" s="169"/>
      <c r="E676" s="131">
        <v>0</v>
      </c>
      <c r="F676" s="119">
        <f>IF(E675=0,"",(G675/E675)/12*E675)</f>
        <v>0</v>
      </c>
      <c r="G676" s="120">
        <f>F676</f>
        <v>0</v>
      </c>
      <c r="H676" s="164"/>
      <c r="I676" s="101" t="s">
        <v>515</v>
      </c>
      <c r="J676" s="101" t="str">
        <f>VLOOKUP(I676,Presupuesto!$B$11:$C$565,2,0)</f>
        <v>AGUINALDO Y DECIMO CUARTO MES</v>
      </c>
      <c r="K676" s="98" t="str">
        <f t="shared" si="19"/>
        <v>Posgrado</v>
      </c>
      <c r="L676" s="98" t="s">
        <v>393</v>
      </c>
    </row>
    <row r="677" spans="3:12" ht="15.75" thickBot="1" x14ac:dyDescent="0.3">
      <c r="C677" s="173" t="s">
        <v>59</v>
      </c>
      <c r="D677" s="162"/>
      <c r="E677" s="132">
        <v>0</v>
      </c>
      <c r="F677" s="105">
        <f>IF(E675&lt;6,"",((E675-6)/12)*(G675/E675))</f>
        <v>0</v>
      </c>
      <c r="G677" s="105">
        <f>F677</f>
        <v>0</v>
      </c>
      <c r="H677" s="162"/>
      <c r="I677" s="106" t="s">
        <v>518</v>
      </c>
      <c r="J677" s="124" t="str">
        <f>VLOOKUP(I677,Presupuesto!$B$11:$C$565,2,0)</f>
        <v>DECIMOCUARTO MES</v>
      </c>
      <c r="K677" s="106" t="str">
        <f t="shared" si="19"/>
        <v>Posgrado</v>
      </c>
      <c r="L677" s="124" t="s">
        <v>393</v>
      </c>
    </row>
    <row r="679" spans="3:12" ht="15.75" thickBot="1" x14ac:dyDescent="0.3"/>
    <row r="680" spans="3:12" ht="15.75" thickBot="1" x14ac:dyDescent="0.3">
      <c r="C680" s="69" t="s">
        <v>43</v>
      </c>
      <c r="D680" s="30">
        <f>SUM(G687:G737)</f>
        <v>0</v>
      </c>
      <c r="E680" s="93"/>
      <c r="F680" s="93"/>
      <c r="G680" s="93"/>
      <c r="H680" s="76"/>
      <c r="I680" s="76"/>
      <c r="J680" s="76"/>
    </row>
    <row r="681" spans="3:12" x14ac:dyDescent="0.25">
      <c r="D681" s="31"/>
      <c r="E681" s="93"/>
      <c r="F681" s="93"/>
      <c r="G681" s="93"/>
      <c r="H681" s="76"/>
      <c r="I681" s="76"/>
      <c r="J681" s="76"/>
    </row>
    <row r="682" spans="3:12" x14ac:dyDescent="0.25">
      <c r="D682" s="31"/>
      <c r="E682" s="93"/>
      <c r="F682" s="93"/>
      <c r="G682" s="93"/>
      <c r="H682" s="76"/>
      <c r="I682" s="76"/>
      <c r="J682" s="76"/>
      <c r="K682" s="153"/>
    </row>
    <row r="683" spans="3:12" ht="15.75" x14ac:dyDescent="0.25">
      <c r="C683" s="202" t="s">
        <v>391</v>
      </c>
      <c r="D683" s="368"/>
      <c r="E683" s="93"/>
      <c r="F683" s="93"/>
      <c r="G683" s="93"/>
      <c r="H683" s="76"/>
      <c r="I683" s="76"/>
      <c r="J683" s="76"/>
      <c r="K683" s="153"/>
    </row>
    <row r="684" spans="3:12" ht="18.75" x14ac:dyDescent="0.25">
      <c r="C684" s="210" t="e">
        <f>IFERROR(VLOOKUP(D683,'1. Desarrollo e Innov. Curricu.'!$F:$G,2,FALSE),IFERROR(VLOOKUP(D683,'2. Investigación Científica'!$F:$G,2,FALSE),IFERROR(VLOOKUP(D683,'3. Vinculación Univ. Sociedad'!$F:$G,2,FALSE),IFERROR(VLOOKUP(D683,'4. Docencia y Profesorado Univ.'!$F:$G,2,FALSE),IFERROR(VLOOKUP(D683,'5. Estudiantes y Graduados'!$F:$G,2,FALSE),IFERROR(VLOOKUP(D683,'11. Gestion Administrativa'!$F:$G,2,FALSE),IFERROR(VLOOKUP(D683,'13. Gestión Académica'!$F:$G,2,FALSE),IFERROR(VLOOKUP(D683,'9. Asegura. de la Calid. y M'!$F:$G,2,FALSE),IFERROR(VLOOKUP(D683,'6. Gestión del Conocimiento'!$F:$G,2,FALSE),IFERROR(VLOOKUP(D683,'15. Gobernabilidad y Proceso...'!$F:$G,2,FALSE),IFERROR(VLOOKUP(D683,'12. Gestión del Talento Humano'!$F:$G,2,FALSE),IFERROR(VLOOKUP(D683,'14. Internacional... de la E.S.'!$F:$G,2,FALSE),IFERROR(VLOOKUP(D683,'10. Posgrado'!$F:$G,2,FALSE),IFERROR(VLOOKUP(D683,'17. Gestión TIC'!$F:$G,2,FALSE),IFERROR(VLOOKUP(D683,'16. Desa. del Sistema Educ.Sup.'!$F:$G,2,FALSE),IFERROR(VLOOKUP(D683,'8. Cultura de Inno. Insti...'!$F:$G,2,FALSE),VLOOKUP(D683,'7. Lo Esencial de la Reforma U.'!$F:$G,2,0)))))))))))))))))</f>
        <v>#N/A</v>
      </c>
      <c r="D684" s="31"/>
      <c r="E684" s="93"/>
      <c r="F684" s="93"/>
      <c r="G684" s="93"/>
      <c r="H684" s="76"/>
      <c r="I684" s="76"/>
      <c r="J684" s="76"/>
      <c r="K684" s="153"/>
    </row>
    <row r="685" spans="3:12" ht="15.75" thickBot="1" x14ac:dyDescent="0.3">
      <c r="C685" s="177"/>
      <c r="D685" s="31"/>
      <c r="E685" s="93"/>
      <c r="F685" s="93"/>
      <c r="G685" s="93"/>
      <c r="H685" s="76"/>
      <c r="I685" s="76"/>
      <c r="J685" s="76"/>
      <c r="K685" s="153"/>
    </row>
    <row r="686" spans="3:12" ht="30.75" thickBot="1" x14ac:dyDescent="0.3">
      <c r="C686" s="134" t="s">
        <v>44</v>
      </c>
      <c r="D686" s="138" t="s">
        <v>55</v>
      </c>
      <c r="E686" s="170" t="s">
        <v>56</v>
      </c>
      <c r="F686" s="138" t="s">
        <v>57</v>
      </c>
      <c r="G686" s="135" t="s">
        <v>27</v>
      </c>
      <c r="H686" s="133" t="s">
        <v>130</v>
      </c>
      <c r="I686" s="136" t="s">
        <v>46</v>
      </c>
      <c r="J686" s="136" t="s">
        <v>131</v>
      </c>
      <c r="K686" s="136" t="s">
        <v>409</v>
      </c>
      <c r="L686" s="136" t="s">
        <v>410</v>
      </c>
    </row>
    <row r="687" spans="3:12" ht="15.75" thickBot="1" x14ac:dyDescent="0.3">
      <c r="C687" s="137" t="s">
        <v>481</v>
      </c>
      <c r="D687" s="199"/>
      <c r="E687" s="152">
        <v>12</v>
      </c>
      <c r="F687" s="303">
        <f>HLOOKUP($C687,$BZ$2:$CM$3,2,0)</f>
        <v>43674.39</v>
      </c>
      <c r="G687" s="113">
        <f>D687*E687*F687</f>
        <v>0</v>
      </c>
      <c r="H687" s="166"/>
      <c r="I687" s="114" t="s">
        <v>495</v>
      </c>
      <c r="J687" s="114" t="str">
        <f>VLOOKUP(I687,Presupuesto!$B$11:$C$565,2,0)</f>
        <v>SUELDOS Y SALARIOS PERMANENTES</v>
      </c>
      <c r="K687" s="218" t="s">
        <v>1449</v>
      </c>
      <c r="L687" s="98" t="s">
        <v>393</v>
      </c>
    </row>
    <row r="688" spans="3:12" x14ac:dyDescent="0.25">
      <c r="C688" s="171" t="s">
        <v>58</v>
      </c>
      <c r="D688" s="163"/>
      <c r="E688" s="154">
        <v>0</v>
      </c>
      <c r="F688" s="100">
        <f>IF(E687=0,"",(G687/E687)/12*E687)</f>
        <v>0</v>
      </c>
      <c r="G688" s="97">
        <f>F688</f>
        <v>0</v>
      </c>
      <c r="H688" s="164"/>
      <c r="I688" s="116" t="s">
        <v>515</v>
      </c>
      <c r="J688" s="116" t="str">
        <f>VLOOKUP(I688,Presupuesto!$B$11:$C$565,2,0)</f>
        <v>AGUINALDO Y DECIMO CUARTO MES</v>
      </c>
      <c r="K688" s="98" t="str">
        <f t="shared" ref="K688:K719" si="20">$K$687</f>
        <v>Posgrado</v>
      </c>
      <c r="L688" s="98" t="s">
        <v>411</v>
      </c>
    </row>
    <row r="689" spans="3:12" ht="15.75" thickBot="1" x14ac:dyDescent="0.3">
      <c r="C689" s="172" t="s">
        <v>59</v>
      </c>
      <c r="D689" s="163"/>
      <c r="E689" s="154">
        <v>0</v>
      </c>
      <c r="F689" s="117">
        <f>IF(E687&lt;6,"",((E687-6)/12)*(G687/E687))</f>
        <v>0</v>
      </c>
      <c r="G689" s="97">
        <f>F689</f>
        <v>0</v>
      </c>
      <c r="H689" s="164"/>
      <c r="I689" s="101" t="s">
        <v>518</v>
      </c>
      <c r="J689" s="101" t="str">
        <f>VLOOKUP(I689,Presupuesto!$B$11:$C$565,2,0)</f>
        <v>DECIMOCUARTO MES</v>
      </c>
      <c r="K689" s="98" t="str">
        <f t="shared" si="20"/>
        <v>Posgrado</v>
      </c>
      <c r="L689" s="98" t="s">
        <v>394</v>
      </c>
    </row>
    <row r="690" spans="3:12" ht="15.75" thickBot="1" x14ac:dyDescent="0.3">
      <c r="C690" s="137" t="s">
        <v>482</v>
      </c>
      <c r="D690" s="199"/>
      <c r="E690" s="152">
        <v>12</v>
      </c>
      <c r="F690" s="303">
        <f>HLOOKUP($C690,$BZ$2:$CM$3,2,0)</f>
        <v>39703.99</v>
      </c>
      <c r="G690" s="113">
        <f>D690*E690*F690</f>
        <v>0</v>
      </c>
      <c r="H690" s="166"/>
      <c r="I690" s="114" t="s">
        <v>495</v>
      </c>
      <c r="J690" s="114" t="str">
        <f>VLOOKUP(I690,Presupuesto!$B$11:$C$565,2,0)</f>
        <v>SUELDOS Y SALARIOS PERMANENTES</v>
      </c>
      <c r="K690" s="98" t="str">
        <f t="shared" si="20"/>
        <v>Posgrado</v>
      </c>
      <c r="L690" s="98" t="s">
        <v>394</v>
      </c>
    </row>
    <row r="691" spans="3:12" x14ac:dyDescent="0.25">
      <c r="C691" s="171" t="s">
        <v>58</v>
      </c>
      <c r="D691" s="163"/>
      <c r="E691" s="154">
        <v>0</v>
      </c>
      <c r="F691" s="100">
        <f>IF(E690=0,"",(G690/E690)/12*E690)</f>
        <v>0</v>
      </c>
      <c r="G691" s="97">
        <f>F691</f>
        <v>0</v>
      </c>
      <c r="H691" s="164"/>
      <c r="I691" s="116" t="s">
        <v>515</v>
      </c>
      <c r="J691" s="116" t="str">
        <f>VLOOKUP(I691,Presupuesto!$B$11:$C$565,2,0)</f>
        <v>AGUINALDO Y DECIMO CUARTO MES</v>
      </c>
      <c r="K691" s="98" t="str">
        <f t="shared" si="20"/>
        <v>Posgrado</v>
      </c>
      <c r="L691" s="98" t="s">
        <v>394</v>
      </c>
    </row>
    <row r="692" spans="3:12" ht="15.75" thickBot="1" x14ac:dyDescent="0.3">
      <c r="C692" s="172" t="s">
        <v>59</v>
      </c>
      <c r="D692" s="163"/>
      <c r="E692" s="154">
        <v>0</v>
      </c>
      <c r="F692" s="117">
        <f>IF(E690&lt;6,"",((E690-6)/12)*(G690/E690))</f>
        <v>0</v>
      </c>
      <c r="G692" s="97">
        <f>F692</f>
        <v>0</v>
      </c>
      <c r="H692" s="164"/>
      <c r="I692" s="101" t="s">
        <v>518</v>
      </c>
      <c r="J692" s="101" t="str">
        <f>VLOOKUP(I692,Presupuesto!$B$11:$C$565,2,0)</f>
        <v>DECIMOCUARTO MES</v>
      </c>
      <c r="K692" s="98" t="str">
        <f t="shared" si="20"/>
        <v>Posgrado</v>
      </c>
      <c r="L692" s="98" t="s">
        <v>394</v>
      </c>
    </row>
    <row r="693" spans="3:12" ht="15.75" thickBot="1" x14ac:dyDescent="0.3">
      <c r="C693" s="137" t="s">
        <v>483</v>
      </c>
      <c r="D693" s="199"/>
      <c r="E693" s="152">
        <v>12</v>
      </c>
      <c r="F693" s="303">
        <f>HLOOKUP($C693,$BZ$2:$CM$3,2,0)</f>
        <v>35733.589999999997</v>
      </c>
      <c r="G693" s="113">
        <f>D693*E693*F693</f>
        <v>0</v>
      </c>
      <c r="H693" s="166"/>
      <c r="I693" s="114" t="s">
        <v>495</v>
      </c>
      <c r="J693" s="114" t="str">
        <f>VLOOKUP(I693,Presupuesto!$B$11:$C$565,2,0)</f>
        <v>SUELDOS Y SALARIOS PERMANENTES</v>
      </c>
      <c r="K693" s="98" t="str">
        <f t="shared" si="20"/>
        <v>Posgrado</v>
      </c>
      <c r="L693" s="98" t="s">
        <v>394</v>
      </c>
    </row>
    <row r="694" spans="3:12" x14ac:dyDescent="0.25">
      <c r="C694" s="171" t="s">
        <v>58</v>
      </c>
      <c r="D694" s="163"/>
      <c r="E694" s="154">
        <v>0</v>
      </c>
      <c r="F694" s="100">
        <f>IF(E693=0,"",(G693/E693)/12*E693)</f>
        <v>0</v>
      </c>
      <c r="G694" s="97">
        <f>F694</f>
        <v>0</v>
      </c>
      <c r="H694" s="164"/>
      <c r="I694" s="116" t="s">
        <v>515</v>
      </c>
      <c r="J694" s="116" t="str">
        <f>VLOOKUP(I694,Presupuesto!$B$11:$C$565,2,0)</f>
        <v>AGUINALDO Y DECIMO CUARTO MES</v>
      </c>
      <c r="K694" s="98" t="str">
        <f t="shared" si="20"/>
        <v>Posgrado</v>
      </c>
      <c r="L694" s="98" t="s">
        <v>394</v>
      </c>
    </row>
    <row r="695" spans="3:12" ht="15.75" thickBot="1" x14ac:dyDescent="0.3">
      <c r="C695" s="172" t="s">
        <v>59</v>
      </c>
      <c r="D695" s="163"/>
      <c r="E695" s="154">
        <v>0</v>
      </c>
      <c r="F695" s="117">
        <f>IF(E693&lt;6,"",((E693-6)/12)*(G693/E693))</f>
        <v>0</v>
      </c>
      <c r="G695" s="97">
        <f>F695</f>
        <v>0</v>
      </c>
      <c r="H695" s="164"/>
      <c r="I695" s="101" t="s">
        <v>518</v>
      </c>
      <c r="J695" s="101" t="str">
        <f>VLOOKUP(I695,Presupuesto!$B$11:$C$565,2,0)</f>
        <v>DECIMOCUARTO MES</v>
      </c>
      <c r="K695" s="98" t="str">
        <f t="shared" si="20"/>
        <v>Posgrado</v>
      </c>
      <c r="L695" s="98" t="s">
        <v>394</v>
      </c>
    </row>
    <row r="696" spans="3:12" ht="15.75" thickBot="1" x14ac:dyDescent="0.3">
      <c r="C696" s="137" t="s">
        <v>484</v>
      </c>
      <c r="D696" s="199"/>
      <c r="E696" s="152">
        <v>12</v>
      </c>
      <c r="F696" s="303">
        <f>HLOOKUP($C696,$BZ$2:$CM$3,2,0)</f>
        <v>31763.19</v>
      </c>
      <c r="G696" s="113">
        <f>D696*E696*F696</f>
        <v>0</v>
      </c>
      <c r="H696" s="166"/>
      <c r="I696" s="114" t="s">
        <v>495</v>
      </c>
      <c r="J696" s="114" t="str">
        <f>VLOOKUP(I696,Presupuesto!$B$11:$C$565,2,0)</f>
        <v>SUELDOS Y SALARIOS PERMANENTES</v>
      </c>
      <c r="K696" s="98" t="str">
        <f t="shared" si="20"/>
        <v>Posgrado</v>
      </c>
      <c r="L696" s="98" t="s">
        <v>394</v>
      </c>
    </row>
    <row r="697" spans="3:12" x14ac:dyDescent="0.25">
      <c r="C697" s="171" t="s">
        <v>58</v>
      </c>
      <c r="D697" s="163"/>
      <c r="E697" s="154">
        <v>0</v>
      </c>
      <c r="F697" s="100">
        <f>IF(E696=0,"",(G696/E696)/12*E696)</f>
        <v>0</v>
      </c>
      <c r="G697" s="97">
        <f>F697</f>
        <v>0</v>
      </c>
      <c r="H697" s="164"/>
      <c r="I697" s="116" t="s">
        <v>515</v>
      </c>
      <c r="J697" s="116" t="str">
        <f>VLOOKUP(I697,Presupuesto!$B$11:$C$565,2,0)</f>
        <v>AGUINALDO Y DECIMO CUARTO MES</v>
      </c>
      <c r="K697" s="98" t="str">
        <f t="shared" si="20"/>
        <v>Posgrado</v>
      </c>
      <c r="L697" s="98" t="s">
        <v>394</v>
      </c>
    </row>
    <row r="698" spans="3:12" ht="15.75" thickBot="1" x14ac:dyDescent="0.3">
      <c r="C698" s="172" t="s">
        <v>59</v>
      </c>
      <c r="D698" s="163"/>
      <c r="E698" s="154">
        <v>0</v>
      </c>
      <c r="F698" s="117">
        <f>IF(E696&lt;6,"",((E696-6)/12)*(G696/E696))</f>
        <v>0</v>
      </c>
      <c r="G698" s="97">
        <f>F698</f>
        <v>0</v>
      </c>
      <c r="H698" s="164"/>
      <c r="I698" s="101" t="s">
        <v>518</v>
      </c>
      <c r="J698" s="101" t="str">
        <f>VLOOKUP(I698,Presupuesto!$B$11:$C$565,2,0)</f>
        <v>DECIMOCUARTO MES</v>
      </c>
      <c r="K698" s="98" t="str">
        <f t="shared" si="20"/>
        <v>Posgrado</v>
      </c>
      <c r="L698" s="98" t="s">
        <v>394</v>
      </c>
    </row>
    <row r="699" spans="3:12" ht="15.75" thickBot="1" x14ac:dyDescent="0.3">
      <c r="C699" s="137" t="s">
        <v>485</v>
      </c>
      <c r="D699" s="199"/>
      <c r="E699" s="152">
        <v>12</v>
      </c>
      <c r="F699" s="303">
        <f>HLOOKUP($C699,$BZ$2:$CM$3,2,0)</f>
        <v>29777.99</v>
      </c>
      <c r="G699" s="113">
        <f>D699*E699*F699</f>
        <v>0</v>
      </c>
      <c r="H699" s="166"/>
      <c r="I699" s="114" t="s">
        <v>495</v>
      </c>
      <c r="J699" s="114" t="str">
        <f>VLOOKUP(I699,Presupuesto!$B$11:$C$565,2,0)</f>
        <v>SUELDOS Y SALARIOS PERMANENTES</v>
      </c>
      <c r="K699" s="98" t="str">
        <f t="shared" si="20"/>
        <v>Posgrado</v>
      </c>
      <c r="L699" s="98" t="s">
        <v>394</v>
      </c>
    </row>
    <row r="700" spans="3:12" x14ac:dyDescent="0.25">
      <c r="C700" s="171" t="s">
        <v>58</v>
      </c>
      <c r="D700" s="163"/>
      <c r="E700" s="154">
        <v>0</v>
      </c>
      <c r="F700" s="100">
        <f>IF(E699=0,"",(G699/E699)/12*E699)</f>
        <v>0</v>
      </c>
      <c r="G700" s="97">
        <f>F700</f>
        <v>0</v>
      </c>
      <c r="H700" s="164"/>
      <c r="I700" s="116" t="s">
        <v>515</v>
      </c>
      <c r="J700" s="116" t="str">
        <f>VLOOKUP(I700,Presupuesto!$B$11:$C$565,2,0)</f>
        <v>AGUINALDO Y DECIMO CUARTO MES</v>
      </c>
      <c r="K700" s="98" t="str">
        <f t="shared" si="20"/>
        <v>Posgrado</v>
      </c>
      <c r="L700" s="98" t="s">
        <v>394</v>
      </c>
    </row>
    <row r="701" spans="3:12" ht="15.75" thickBot="1" x14ac:dyDescent="0.3">
      <c r="C701" s="172" t="s">
        <v>59</v>
      </c>
      <c r="D701" s="163"/>
      <c r="E701" s="154">
        <v>0</v>
      </c>
      <c r="F701" s="117">
        <f>IF(E699&lt;6,"",((E699-6)/12)*(G699/E699))</f>
        <v>0</v>
      </c>
      <c r="G701" s="97">
        <f>F701</f>
        <v>0</v>
      </c>
      <c r="H701" s="164"/>
      <c r="I701" s="101" t="s">
        <v>518</v>
      </c>
      <c r="J701" s="101" t="str">
        <f>VLOOKUP(I701,Presupuesto!$B$11:$C$565,2,0)</f>
        <v>DECIMOCUARTO MES</v>
      </c>
      <c r="K701" s="98" t="str">
        <f t="shared" si="20"/>
        <v>Posgrado</v>
      </c>
      <c r="L701" s="98" t="s">
        <v>394</v>
      </c>
    </row>
    <row r="702" spans="3:12" ht="15.75" thickBot="1" x14ac:dyDescent="0.3">
      <c r="C702" s="137" t="s">
        <v>486</v>
      </c>
      <c r="D702" s="199"/>
      <c r="E702" s="152">
        <v>12</v>
      </c>
      <c r="F702" s="303">
        <f>HLOOKUP($C702,$BZ$2:$CM$3,2,0)</f>
        <v>27792.79</v>
      </c>
      <c r="G702" s="113">
        <f>D702*E702*F702</f>
        <v>0</v>
      </c>
      <c r="H702" s="166"/>
      <c r="I702" s="114" t="s">
        <v>495</v>
      </c>
      <c r="J702" s="114" t="str">
        <f>VLOOKUP(I702,Presupuesto!$B$11:$C$565,2,0)</f>
        <v>SUELDOS Y SALARIOS PERMANENTES</v>
      </c>
      <c r="K702" s="98" t="str">
        <f t="shared" si="20"/>
        <v>Posgrado</v>
      </c>
      <c r="L702" s="98" t="s">
        <v>394</v>
      </c>
    </row>
    <row r="703" spans="3:12" x14ac:dyDescent="0.25">
      <c r="C703" s="171" t="s">
        <v>58</v>
      </c>
      <c r="D703" s="163"/>
      <c r="E703" s="154">
        <v>0</v>
      </c>
      <c r="F703" s="100">
        <f>IF(E702=0,"",(G702/E702)/12*E702)</f>
        <v>0</v>
      </c>
      <c r="G703" s="97">
        <f>F703</f>
        <v>0</v>
      </c>
      <c r="H703" s="164"/>
      <c r="I703" s="116" t="s">
        <v>515</v>
      </c>
      <c r="J703" s="116" t="str">
        <f>VLOOKUP(I703,Presupuesto!$B$11:$C$565,2,0)</f>
        <v>AGUINALDO Y DECIMO CUARTO MES</v>
      </c>
      <c r="K703" s="98" t="str">
        <f t="shared" si="20"/>
        <v>Posgrado</v>
      </c>
      <c r="L703" s="98" t="s">
        <v>394</v>
      </c>
    </row>
    <row r="704" spans="3:12" ht="15.75" thickBot="1" x14ac:dyDescent="0.3">
      <c r="C704" s="172" t="s">
        <v>59</v>
      </c>
      <c r="D704" s="163"/>
      <c r="E704" s="154">
        <v>0</v>
      </c>
      <c r="F704" s="117">
        <f>IF(E702&lt;6,"",((E702-6)/12)*(G702/E702))</f>
        <v>0</v>
      </c>
      <c r="G704" s="97">
        <f>F704</f>
        <v>0</v>
      </c>
      <c r="H704" s="164"/>
      <c r="I704" s="101" t="s">
        <v>518</v>
      </c>
      <c r="J704" s="101" t="str">
        <f>VLOOKUP(I704,Presupuesto!$B$11:$C$565,2,0)</f>
        <v>DECIMOCUARTO MES</v>
      </c>
      <c r="K704" s="98" t="str">
        <f t="shared" si="20"/>
        <v>Posgrado</v>
      </c>
      <c r="L704" s="98" t="s">
        <v>394</v>
      </c>
    </row>
    <row r="705" spans="3:12" ht="15.75" thickBot="1" x14ac:dyDescent="0.3">
      <c r="C705" s="137" t="s">
        <v>487</v>
      </c>
      <c r="D705" s="199"/>
      <c r="E705" s="152">
        <v>12</v>
      </c>
      <c r="F705" s="303">
        <f>HLOOKUP($C705,$BZ$2:$CM$3,2,0)</f>
        <v>18859.39</v>
      </c>
      <c r="G705" s="113">
        <f>D705*E705*F705</f>
        <v>0</v>
      </c>
      <c r="H705" s="166"/>
      <c r="I705" s="114" t="s">
        <v>495</v>
      </c>
      <c r="J705" s="114" t="str">
        <f>VLOOKUP(I705,Presupuesto!$B$11:$C$565,2,0)</f>
        <v>SUELDOS Y SALARIOS PERMANENTES</v>
      </c>
      <c r="K705" s="98" t="str">
        <f t="shared" si="20"/>
        <v>Posgrado</v>
      </c>
      <c r="L705" s="98" t="s">
        <v>394</v>
      </c>
    </row>
    <row r="706" spans="3:12" x14ac:dyDescent="0.25">
      <c r="C706" s="171" t="s">
        <v>58</v>
      </c>
      <c r="D706" s="163"/>
      <c r="E706" s="154">
        <v>0</v>
      </c>
      <c r="F706" s="100">
        <f>IF(E705=0,"",(G705/E705)/12*E705)</f>
        <v>0</v>
      </c>
      <c r="G706" s="97">
        <f>F706</f>
        <v>0</v>
      </c>
      <c r="H706" s="164"/>
      <c r="I706" s="116" t="s">
        <v>515</v>
      </c>
      <c r="J706" s="116" t="str">
        <f>VLOOKUP(I706,Presupuesto!$B$11:$C$565,2,0)</f>
        <v>AGUINALDO Y DECIMO CUARTO MES</v>
      </c>
      <c r="K706" s="98" t="str">
        <f t="shared" si="20"/>
        <v>Posgrado</v>
      </c>
      <c r="L706" s="98" t="s">
        <v>394</v>
      </c>
    </row>
    <row r="707" spans="3:12" ht="15.75" thickBot="1" x14ac:dyDescent="0.3">
      <c r="C707" s="172" t="s">
        <v>59</v>
      </c>
      <c r="D707" s="163"/>
      <c r="E707" s="154">
        <v>0</v>
      </c>
      <c r="F707" s="117">
        <f>IF(E705&lt;6,"",((E705-6)/12)*(G705/E705))</f>
        <v>0</v>
      </c>
      <c r="G707" s="97">
        <f>F707</f>
        <v>0</v>
      </c>
      <c r="H707" s="164"/>
      <c r="I707" s="101" t="s">
        <v>518</v>
      </c>
      <c r="J707" s="101" t="str">
        <f>VLOOKUP(I707,Presupuesto!$B$11:$C$565,2,0)</f>
        <v>DECIMOCUARTO MES</v>
      </c>
      <c r="K707" s="98" t="str">
        <f t="shared" si="20"/>
        <v>Posgrado</v>
      </c>
      <c r="L707" s="98" t="s">
        <v>394</v>
      </c>
    </row>
    <row r="708" spans="3:12" ht="15.75" thickBot="1" x14ac:dyDescent="0.3">
      <c r="C708" s="137" t="s">
        <v>488</v>
      </c>
      <c r="D708" s="199"/>
      <c r="E708" s="152">
        <v>12</v>
      </c>
      <c r="F708" s="303">
        <f>HLOOKUP($C708,$BZ$2:$CM$3,2,0)</f>
        <v>17866.8</v>
      </c>
      <c r="G708" s="113">
        <f>D708*E708*F708</f>
        <v>0</v>
      </c>
      <c r="H708" s="166"/>
      <c r="I708" s="114" t="s">
        <v>495</v>
      </c>
      <c r="J708" s="114" t="str">
        <f>VLOOKUP(I708,Presupuesto!$B$11:$C$565,2,0)</f>
        <v>SUELDOS Y SALARIOS PERMANENTES</v>
      </c>
      <c r="K708" s="98" t="str">
        <f t="shared" si="20"/>
        <v>Posgrado</v>
      </c>
      <c r="L708" s="98" t="s">
        <v>394</v>
      </c>
    </row>
    <row r="709" spans="3:12" x14ac:dyDescent="0.25">
      <c r="C709" s="171" t="s">
        <v>58</v>
      </c>
      <c r="D709" s="163"/>
      <c r="E709" s="154">
        <v>0</v>
      </c>
      <c r="F709" s="100">
        <f>IF(E708=0,"",(G708/E708)/12*E708)</f>
        <v>0</v>
      </c>
      <c r="G709" s="97">
        <f>F709</f>
        <v>0</v>
      </c>
      <c r="H709" s="164"/>
      <c r="I709" s="116" t="s">
        <v>515</v>
      </c>
      <c r="J709" s="116" t="str">
        <f>VLOOKUP(I709,Presupuesto!$B$11:$C$565,2,0)</f>
        <v>AGUINALDO Y DECIMO CUARTO MES</v>
      </c>
      <c r="K709" s="98" t="str">
        <f t="shared" si="20"/>
        <v>Posgrado</v>
      </c>
      <c r="L709" s="98" t="s">
        <v>394</v>
      </c>
    </row>
    <row r="710" spans="3:12" ht="15.75" thickBot="1" x14ac:dyDescent="0.3">
      <c r="C710" s="172" t="s">
        <v>59</v>
      </c>
      <c r="D710" s="163"/>
      <c r="E710" s="154">
        <v>0</v>
      </c>
      <c r="F710" s="117">
        <f>IF(E708&lt;6,"",((E708-6)/12)*(G708/E708))</f>
        <v>0</v>
      </c>
      <c r="G710" s="97">
        <f>F710</f>
        <v>0</v>
      </c>
      <c r="H710" s="164"/>
      <c r="I710" s="101" t="s">
        <v>518</v>
      </c>
      <c r="J710" s="101" t="str">
        <f>VLOOKUP(I710,Presupuesto!$B$11:$C$565,2,0)</f>
        <v>DECIMOCUARTO MES</v>
      </c>
      <c r="K710" s="98" t="str">
        <f t="shared" si="20"/>
        <v>Posgrado</v>
      </c>
      <c r="L710" s="98" t="s">
        <v>394</v>
      </c>
    </row>
    <row r="711" spans="3:12" ht="15.75" thickBot="1" x14ac:dyDescent="0.3">
      <c r="C711" s="137" t="s">
        <v>489</v>
      </c>
      <c r="D711" s="199"/>
      <c r="E711" s="152">
        <v>12</v>
      </c>
      <c r="F711" s="303">
        <f>HLOOKUP($C711,$BZ$2:$CM$3,2,0)</f>
        <v>13896.4</v>
      </c>
      <c r="G711" s="113">
        <f>D711*E711*F711</f>
        <v>0</v>
      </c>
      <c r="H711" s="166"/>
      <c r="I711" s="114" t="s">
        <v>495</v>
      </c>
      <c r="J711" s="114" t="str">
        <f>VLOOKUP(I711,Presupuesto!$B$11:$C$565,2,0)</f>
        <v>SUELDOS Y SALARIOS PERMANENTES</v>
      </c>
      <c r="K711" s="98" t="str">
        <f t="shared" si="20"/>
        <v>Posgrado</v>
      </c>
      <c r="L711" s="98" t="s">
        <v>394</v>
      </c>
    </row>
    <row r="712" spans="3:12" x14ac:dyDescent="0.25">
      <c r="C712" s="171" t="s">
        <v>58</v>
      </c>
      <c r="D712" s="163"/>
      <c r="E712" s="154">
        <v>0</v>
      </c>
      <c r="F712" s="100">
        <f>IF(E711=0,"",(G711/E711)/12*E711)</f>
        <v>0</v>
      </c>
      <c r="G712" s="97">
        <f>F712</f>
        <v>0</v>
      </c>
      <c r="H712" s="164"/>
      <c r="I712" s="116" t="s">
        <v>515</v>
      </c>
      <c r="J712" s="116" t="str">
        <f>VLOOKUP(I712,Presupuesto!$B$11:$C$565,2,0)</f>
        <v>AGUINALDO Y DECIMO CUARTO MES</v>
      </c>
      <c r="K712" s="98" t="str">
        <f t="shared" si="20"/>
        <v>Posgrado</v>
      </c>
      <c r="L712" s="98" t="s">
        <v>394</v>
      </c>
    </row>
    <row r="713" spans="3:12" ht="15.75" thickBot="1" x14ac:dyDescent="0.3">
      <c r="C713" s="172" t="s">
        <v>59</v>
      </c>
      <c r="D713" s="163"/>
      <c r="E713" s="154">
        <v>0</v>
      </c>
      <c r="F713" s="117">
        <f>IF(E711&lt;6,"",((E711-6)/12)*(G711/E711))</f>
        <v>0</v>
      </c>
      <c r="G713" s="97">
        <f>F713</f>
        <v>0</v>
      </c>
      <c r="H713" s="164"/>
      <c r="I713" s="101" t="s">
        <v>518</v>
      </c>
      <c r="J713" s="101" t="str">
        <f>VLOOKUP(I713,Presupuesto!$B$11:$C$565,2,0)</f>
        <v>DECIMOCUARTO MES</v>
      </c>
      <c r="K713" s="98" t="str">
        <f t="shared" si="20"/>
        <v>Posgrado</v>
      </c>
      <c r="L713" s="98" t="s">
        <v>394</v>
      </c>
    </row>
    <row r="714" spans="3:12" ht="15.75" thickBot="1" x14ac:dyDescent="0.3">
      <c r="C714" s="137" t="s">
        <v>490</v>
      </c>
      <c r="D714" s="199"/>
      <c r="E714" s="152">
        <v>12</v>
      </c>
      <c r="F714" s="303">
        <f>HLOOKUP($C714,$BZ$2:$CM$3,2,0)</f>
        <v>15004.09</v>
      </c>
      <c r="G714" s="113">
        <f>D714*E714*F714</f>
        <v>0</v>
      </c>
      <c r="H714" s="166"/>
      <c r="I714" s="114" t="s">
        <v>495</v>
      </c>
      <c r="J714" s="114" t="str">
        <f>VLOOKUP(I714,Presupuesto!$B$11:$C$565,2,0)</f>
        <v>SUELDOS Y SALARIOS PERMANENTES</v>
      </c>
      <c r="K714" s="98" t="str">
        <f t="shared" si="20"/>
        <v>Posgrado</v>
      </c>
      <c r="L714" s="98" t="s">
        <v>394</v>
      </c>
    </row>
    <row r="715" spans="3:12" x14ac:dyDescent="0.25">
      <c r="C715" s="171" t="s">
        <v>58</v>
      </c>
      <c r="D715" s="163"/>
      <c r="E715" s="154">
        <v>0</v>
      </c>
      <c r="F715" s="100">
        <f>IF(E714=0,"",(G714/E714)/12*E714)</f>
        <v>0</v>
      </c>
      <c r="G715" s="97">
        <f>F715</f>
        <v>0</v>
      </c>
      <c r="H715" s="164"/>
      <c r="I715" s="116" t="s">
        <v>515</v>
      </c>
      <c r="J715" s="116" t="str">
        <f>VLOOKUP(I715,Presupuesto!$B$11:$C$565,2,0)</f>
        <v>AGUINALDO Y DECIMO CUARTO MES</v>
      </c>
      <c r="K715" s="98" t="str">
        <f t="shared" si="20"/>
        <v>Posgrado</v>
      </c>
      <c r="L715" s="98" t="s">
        <v>394</v>
      </c>
    </row>
    <row r="716" spans="3:12" ht="15.75" thickBot="1" x14ac:dyDescent="0.3">
      <c r="C716" s="172" t="s">
        <v>59</v>
      </c>
      <c r="D716" s="163"/>
      <c r="E716" s="154">
        <v>0</v>
      </c>
      <c r="F716" s="117">
        <f>IF(E714&lt;6,"",((E714-6)/12)*(G714/E714))</f>
        <v>0</v>
      </c>
      <c r="G716" s="97">
        <f>F716</f>
        <v>0</v>
      </c>
      <c r="H716" s="164"/>
      <c r="I716" s="101" t="s">
        <v>518</v>
      </c>
      <c r="J716" s="101" t="str">
        <f>VLOOKUP(I716,Presupuesto!$B$11:$C$565,2,0)</f>
        <v>DECIMOCUARTO MES</v>
      </c>
      <c r="K716" s="98" t="str">
        <f t="shared" si="20"/>
        <v>Posgrado</v>
      </c>
      <c r="L716" s="98" t="s">
        <v>394</v>
      </c>
    </row>
    <row r="717" spans="3:12" ht="15.75" thickBot="1" x14ac:dyDescent="0.3">
      <c r="C717" s="137" t="s">
        <v>491</v>
      </c>
      <c r="D717" s="199"/>
      <c r="E717" s="152">
        <v>12</v>
      </c>
      <c r="F717" s="303">
        <f>HLOOKUP($C717,$BZ$2:$CM$3,2,0)</f>
        <v>13238.9</v>
      </c>
      <c r="G717" s="113">
        <f>D717*E717*F717</f>
        <v>0</v>
      </c>
      <c r="H717" s="166"/>
      <c r="I717" s="114" t="s">
        <v>495</v>
      </c>
      <c r="J717" s="114" t="str">
        <f>VLOOKUP(I717,Presupuesto!$B$11:$C$565,2,0)</f>
        <v>SUELDOS Y SALARIOS PERMANENTES</v>
      </c>
      <c r="K717" s="98" t="str">
        <f t="shared" si="20"/>
        <v>Posgrado</v>
      </c>
      <c r="L717" s="98" t="s">
        <v>394</v>
      </c>
    </row>
    <row r="718" spans="3:12" x14ac:dyDescent="0.25">
      <c r="C718" s="171" t="s">
        <v>58</v>
      </c>
      <c r="D718" s="163"/>
      <c r="E718" s="154">
        <v>0</v>
      </c>
      <c r="F718" s="100">
        <f>IF(E717=0,"",(G717/E717)/12*E717)</f>
        <v>0</v>
      </c>
      <c r="G718" s="97">
        <f>F718</f>
        <v>0</v>
      </c>
      <c r="H718" s="164"/>
      <c r="I718" s="116" t="s">
        <v>515</v>
      </c>
      <c r="J718" s="116" t="str">
        <f>VLOOKUP(I718,Presupuesto!$B$11:$C$565,2,0)</f>
        <v>AGUINALDO Y DECIMO CUARTO MES</v>
      </c>
      <c r="K718" s="98" t="str">
        <f t="shared" si="20"/>
        <v>Posgrado</v>
      </c>
      <c r="L718" s="98" t="s">
        <v>394</v>
      </c>
    </row>
    <row r="719" spans="3:12" ht="15.75" thickBot="1" x14ac:dyDescent="0.3">
      <c r="C719" s="172" t="s">
        <v>59</v>
      </c>
      <c r="D719" s="163"/>
      <c r="E719" s="154">
        <v>0</v>
      </c>
      <c r="F719" s="117">
        <f>IF(E717&lt;6,"",((E717-6)/12)*(G717/E717))</f>
        <v>0</v>
      </c>
      <c r="G719" s="97">
        <f>F719</f>
        <v>0</v>
      </c>
      <c r="H719" s="164"/>
      <c r="I719" s="101" t="s">
        <v>518</v>
      </c>
      <c r="J719" s="101" t="str">
        <f>VLOOKUP(I719,Presupuesto!$B$11:$C$565,2,0)</f>
        <v>DECIMOCUARTO MES</v>
      </c>
      <c r="K719" s="98" t="str">
        <f t="shared" si="20"/>
        <v>Posgrado</v>
      </c>
      <c r="L719" s="98" t="s">
        <v>394</v>
      </c>
    </row>
    <row r="720" spans="3:12" ht="15.75" thickBot="1" x14ac:dyDescent="0.3">
      <c r="C720" s="137" t="s">
        <v>492</v>
      </c>
      <c r="D720" s="199"/>
      <c r="E720" s="152">
        <v>12</v>
      </c>
      <c r="F720" s="303">
        <f>HLOOKUP($C720,$BZ$2:$CM$3,2,0)</f>
        <v>12356.31</v>
      </c>
      <c r="G720" s="113">
        <f>D720*E720*F720</f>
        <v>0</v>
      </c>
      <c r="H720" s="166"/>
      <c r="I720" s="114" t="s">
        <v>495</v>
      </c>
      <c r="J720" s="114" t="str">
        <f>VLOOKUP(I720,Presupuesto!$B$11:$C$565,2,0)</f>
        <v>SUELDOS Y SALARIOS PERMANENTES</v>
      </c>
      <c r="K720" s="98" t="str">
        <f t="shared" ref="K720:K737" si="21">$K$687</f>
        <v>Posgrado</v>
      </c>
      <c r="L720" s="98" t="s">
        <v>394</v>
      </c>
    </row>
    <row r="721" spans="3:12" x14ac:dyDescent="0.25">
      <c r="C721" s="171" t="s">
        <v>58</v>
      </c>
      <c r="D721" s="163"/>
      <c r="E721" s="154">
        <v>0</v>
      </c>
      <c r="F721" s="100">
        <f>IF(E720=0,"",(G720/E720)/12*E720)</f>
        <v>0</v>
      </c>
      <c r="G721" s="97">
        <f>F721</f>
        <v>0</v>
      </c>
      <c r="H721" s="164"/>
      <c r="I721" s="116" t="s">
        <v>515</v>
      </c>
      <c r="J721" s="116" t="str">
        <f>VLOOKUP(I721,Presupuesto!$B$11:$C$565,2,0)</f>
        <v>AGUINALDO Y DECIMO CUARTO MES</v>
      </c>
      <c r="K721" s="98" t="str">
        <f t="shared" si="21"/>
        <v>Posgrado</v>
      </c>
      <c r="L721" s="98" t="s">
        <v>394</v>
      </c>
    </row>
    <row r="722" spans="3:12" ht="15.75" thickBot="1" x14ac:dyDescent="0.3">
      <c r="C722" s="172" t="s">
        <v>59</v>
      </c>
      <c r="D722" s="163"/>
      <c r="E722" s="154">
        <v>0</v>
      </c>
      <c r="F722" s="117">
        <f>IF(E720&lt;6,"",((E720-6)/12)*(G720/E720))</f>
        <v>0</v>
      </c>
      <c r="G722" s="97">
        <f>F722</f>
        <v>0</v>
      </c>
      <c r="H722" s="164"/>
      <c r="I722" s="101" t="s">
        <v>518</v>
      </c>
      <c r="J722" s="101" t="str">
        <f>VLOOKUP(I722,Presupuesto!$B$11:$C$565,2,0)</f>
        <v>DECIMOCUARTO MES</v>
      </c>
      <c r="K722" s="98" t="str">
        <f t="shared" si="21"/>
        <v>Posgrado</v>
      </c>
      <c r="L722" s="98" t="s">
        <v>394</v>
      </c>
    </row>
    <row r="723" spans="3:12" ht="15.75" thickBot="1" x14ac:dyDescent="0.3">
      <c r="C723" s="137" t="s">
        <v>493</v>
      </c>
      <c r="D723" s="199"/>
      <c r="E723" s="152">
        <v>12</v>
      </c>
      <c r="F723" s="303">
        <f>HLOOKUP($C723,$BZ$2:$CM$3,2,0)</f>
        <v>463.22</v>
      </c>
      <c r="G723" s="113">
        <f>D723*E723*F723</f>
        <v>0</v>
      </c>
      <c r="H723" s="166"/>
      <c r="I723" s="114" t="s">
        <v>495</v>
      </c>
      <c r="J723" s="114" t="str">
        <f>VLOOKUP(I723,Presupuesto!$B$11:$C$565,2,0)</f>
        <v>SUELDOS Y SALARIOS PERMANENTES</v>
      </c>
      <c r="K723" s="98" t="str">
        <f t="shared" si="21"/>
        <v>Posgrado</v>
      </c>
      <c r="L723" s="98" t="s">
        <v>394</v>
      </c>
    </row>
    <row r="724" spans="3:12" x14ac:dyDescent="0.25">
      <c r="C724" s="171" t="s">
        <v>58</v>
      </c>
      <c r="D724" s="163"/>
      <c r="E724" s="154">
        <v>0</v>
      </c>
      <c r="F724" s="100">
        <f>IF(E723=0,"",(G723/E723)/12*E723)</f>
        <v>0</v>
      </c>
      <c r="G724" s="97">
        <f>F724</f>
        <v>0</v>
      </c>
      <c r="H724" s="164"/>
      <c r="I724" s="116" t="s">
        <v>515</v>
      </c>
      <c r="J724" s="116" t="str">
        <f>VLOOKUP(I724,Presupuesto!$B$11:$C$565,2,0)</f>
        <v>AGUINALDO Y DECIMO CUARTO MES</v>
      </c>
      <c r="K724" s="98" t="str">
        <f t="shared" si="21"/>
        <v>Posgrado</v>
      </c>
      <c r="L724" s="98" t="s">
        <v>394</v>
      </c>
    </row>
    <row r="725" spans="3:12" ht="15.75" thickBot="1" x14ac:dyDescent="0.3">
      <c r="C725" s="172" t="s">
        <v>59</v>
      </c>
      <c r="D725" s="163"/>
      <c r="E725" s="154">
        <v>0</v>
      </c>
      <c r="F725" s="117">
        <f>IF(E723&lt;6,"",((E723-6)/12)*(G723/E723))</f>
        <v>0</v>
      </c>
      <c r="G725" s="97">
        <f>F725</f>
        <v>0</v>
      </c>
      <c r="H725" s="164"/>
      <c r="I725" s="101" t="s">
        <v>518</v>
      </c>
      <c r="J725" s="101" t="str">
        <f>VLOOKUP(I725,Presupuesto!$B$11:$C$565,2,0)</f>
        <v>DECIMOCUARTO MES</v>
      </c>
      <c r="K725" s="98" t="str">
        <f t="shared" si="21"/>
        <v>Posgrado</v>
      </c>
      <c r="L725" s="98" t="s">
        <v>394</v>
      </c>
    </row>
    <row r="726" spans="3:12" ht="15.75" thickBot="1" x14ac:dyDescent="0.3">
      <c r="C726" s="137" t="s">
        <v>494</v>
      </c>
      <c r="D726" s="199"/>
      <c r="E726" s="152">
        <v>12</v>
      </c>
      <c r="F726" s="303">
        <f>HLOOKUP($C726,$BZ$2:$CM$3,2,0)</f>
        <v>2007.3</v>
      </c>
      <c r="G726" s="113">
        <f>D726*E726*F726</f>
        <v>0</v>
      </c>
      <c r="H726" s="166"/>
      <c r="I726" s="114" t="s">
        <v>495</v>
      </c>
      <c r="J726" s="114" t="str">
        <f>VLOOKUP(I726,Presupuesto!$B$11:$C$565,2,0)</f>
        <v>SUELDOS Y SALARIOS PERMANENTES</v>
      </c>
      <c r="K726" s="98" t="str">
        <f t="shared" si="21"/>
        <v>Posgrado</v>
      </c>
      <c r="L726" s="98" t="s">
        <v>394</v>
      </c>
    </row>
    <row r="727" spans="3:12" x14ac:dyDescent="0.25">
      <c r="C727" s="171" t="s">
        <v>58</v>
      </c>
      <c r="D727" s="163"/>
      <c r="E727" s="154">
        <v>0</v>
      </c>
      <c r="F727" s="100">
        <f>IF(E726=0,"",(G726/E726)/12*E726)</f>
        <v>0</v>
      </c>
      <c r="G727" s="97">
        <f>F727</f>
        <v>0</v>
      </c>
      <c r="H727" s="164"/>
      <c r="I727" s="116" t="s">
        <v>515</v>
      </c>
      <c r="J727" s="116" t="str">
        <f>VLOOKUP(I727,Presupuesto!$B$11:$C$565,2,0)</f>
        <v>AGUINALDO Y DECIMO CUARTO MES</v>
      </c>
      <c r="K727" s="98" t="str">
        <f t="shared" si="21"/>
        <v>Posgrado</v>
      </c>
      <c r="L727" s="98" t="s">
        <v>394</v>
      </c>
    </row>
    <row r="728" spans="3:12" ht="15.75" thickBot="1" x14ac:dyDescent="0.3">
      <c r="C728" s="172" t="s">
        <v>59</v>
      </c>
      <c r="D728" s="163"/>
      <c r="E728" s="154">
        <v>0</v>
      </c>
      <c r="F728" s="117">
        <f>IF(E726&lt;6,"",((E726-6)/12)*(G726/E726))</f>
        <v>0</v>
      </c>
      <c r="G728" s="97">
        <f>F728</f>
        <v>0</v>
      </c>
      <c r="H728" s="164"/>
      <c r="I728" s="101" t="s">
        <v>518</v>
      </c>
      <c r="J728" s="101" t="str">
        <f>VLOOKUP(I728,Presupuesto!$B$11:$C$565,2,0)</f>
        <v>DECIMOCUARTO MES</v>
      </c>
      <c r="K728" s="98" t="str">
        <f t="shared" si="21"/>
        <v>Posgrado</v>
      </c>
      <c r="L728" s="98" t="s">
        <v>394</v>
      </c>
    </row>
    <row r="729" spans="3:12" ht="15.75" thickBot="1" x14ac:dyDescent="0.3">
      <c r="C729" s="140" t="s">
        <v>83</v>
      </c>
      <c r="D729" s="199"/>
      <c r="E729" s="152">
        <v>12</v>
      </c>
      <c r="F729" s="139">
        <v>30000</v>
      </c>
      <c r="G729" s="113">
        <f>D729*E729*F729</f>
        <v>0</v>
      </c>
      <c r="H729" s="166"/>
      <c r="I729" s="114" t="s">
        <v>563</v>
      </c>
      <c r="J729" s="114" t="str">
        <f>VLOOKUP(I729,Presupuesto!$B$11:$C$565,2,0)</f>
        <v>CONTRATOS ESPECIALES</v>
      </c>
      <c r="K729" s="98" t="str">
        <f t="shared" si="21"/>
        <v>Posgrado</v>
      </c>
      <c r="L729" s="98" t="s">
        <v>394</v>
      </c>
    </row>
    <row r="730" spans="3:12" x14ac:dyDescent="0.25">
      <c r="C730" s="171" t="s">
        <v>58</v>
      </c>
      <c r="D730" s="163"/>
      <c r="E730" s="154">
        <v>0</v>
      </c>
      <c r="F730" s="117">
        <f>IF(E729=0,"",(G729/E729)/12*E729)</f>
        <v>0</v>
      </c>
      <c r="G730" s="97">
        <f>F730</f>
        <v>0</v>
      </c>
      <c r="H730" s="164"/>
      <c r="I730" s="101" t="s">
        <v>563</v>
      </c>
      <c r="J730" s="101" t="str">
        <f>VLOOKUP(I730,Presupuesto!$B$11:$C$565,2,0)</f>
        <v>CONTRATOS ESPECIALES</v>
      </c>
      <c r="K730" s="98" t="str">
        <f t="shared" si="21"/>
        <v>Posgrado</v>
      </c>
      <c r="L730" s="98" t="s">
        <v>393</v>
      </c>
    </row>
    <row r="731" spans="3:12" ht="15.75" thickBot="1" x14ac:dyDescent="0.3">
      <c r="C731" s="172" t="s">
        <v>59</v>
      </c>
      <c r="D731" s="163"/>
      <c r="E731" s="154">
        <v>0</v>
      </c>
      <c r="F731" s="100">
        <f>IF(E729&lt;6,"",((E729-6)/12)*(G729/E729))</f>
        <v>0</v>
      </c>
      <c r="G731" s="97">
        <f>F731</f>
        <v>0</v>
      </c>
      <c r="H731" s="164"/>
      <c r="I731" s="101" t="s">
        <v>563</v>
      </c>
      <c r="J731" s="101" t="str">
        <f>VLOOKUP(I731,Presupuesto!$B$11:$C$565,2,0)</f>
        <v>CONTRATOS ESPECIALES</v>
      </c>
      <c r="K731" s="98" t="str">
        <f t="shared" si="21"/>
        <v>Posgrado</v>
      </c>
      <c r="L731" s="98" t="s">
        <v>398</v>
      </c>
    </row>
    <row r="732" spans="3:12" ht="15.75" thickBot="1" x14ac:dyDescent="0.3">
      <c r="C732" s="140" t="s">
        <v>60</v>
      </c>
      <c r="D732" s="199"/>
      <c r="E732" s="152">
        <v>12</v>
      </c>
      <c r="F732" s="118">
        <v>30000</v>
      </c>
      <c r="G732" s="113">
        <f>D732*E732*F732</f>
        <v>0</v>
      </c>
      <c r="H732" s="166"/>
      <c r="I732" s="114" t="s">
        <v>704</v>
      </c>
      <c r="J732" s="114" t="str">
        <f>VLOOKUP(I732,Presupuesto!$B$11:$C$565,2,0)</f>
        <v>OTROS SERVICIOS TECNICOS Y PROFESIONALES</v>
      </c>
      <c r="K732" s="98" t="str">
        <f t="shared" si="21"/>
        <v>Posgrado</v>
      </c>
      <c r="L732" s="98" t="s">
        <v>393</v>
      </c>
    </row>
    <row r="733" spans="3:12" x14ac:dyDescent="0.25">
      <c r="C733" s="171" t="s">
        <v>58</v>
      </c>
      <c r="D733" s="163"/>
      <c r="E733" s="154">
        <v>0</v>
      </c>
      <c r="F733" s="100">
        <v>0</v>
      </c>
      <c r="G733" s="97">
        <f>F733</f>
        <v>0</v>
      </c>
      <c r="H733" s="164"/>
      <c r="I733" s="101" t="s">
        <v>704</v>
      </c>
      <c r="J733" s="101" t="str">
        <f>VLOOKUP(I733,Presupuesto!$B$11:$C$565,2,0)</f>
        <v>OTROS SERVICIOS TECNICOS Y PROFESIONALES</v>
      </c>
      <c r="K733" s="98" t="str">
        <f t="shared" si="21"/>
        <v>Posgrado</v>
      </c>
      <c r="L733" s="98" t="s">
        <v>393</v>
      </c>
    </row>
    <row r="734" spans="3:12" ht="15.75" thickBot="1" x14ac:dyDescent="0.3">
      <c r="C734" s="172" t="s">
        <v>59</v>
      </c>
      <c r="D734" s="163"/>
      <c r="E734" s="154">
        <v>0</v>
      </c>
      <c r="F734" s="100">
        <v>0</v>
      </c>
      <c r="G734" s="97">
        <f>F734</f>
        <v>0</v>
      </c>
      <c r="H734" s="164"/>
      <c r="I734" s="101" t="s">
        <v>704</v>
      </c>
      <c r="J734" s="101" t="str">
        <f>VLOOKUP(I734,Presupuesto!$B$11:$C$565,2,0)</f>
        <v>OTROS SERVICIOS TECNICOS Y PROFESIONALES</v>
      </c>
      <c r="K734" s="98" t="str">
        <f t="shared" si="21"/>
        <v>Posgrado</v>
      </c>
      <c r="L734" s="98" t="s">
        <v>393</v>
      </c>
    </row>
    <row r="735" spans="3:12" ht="15.75" thickBot="1" x14ac:dyDescent="0.3">
      <c r="C735" s="140" t="s">
        <v>61</v>
      </c>
      <c r="D735" s="199"/>
      <c r="E735" s="152">
        <v>12</v>
      </c>
      <c r="F735" s="118">
        <v>30000</v>
      </c>
      <c r="G735" s="113">
        <f>D735*E735*F735</f>
        <v>0</v>
      </c>
      <c r="H735" s="166"/>
      <c r="I735" s="114" t="s">
        <v>495</v>
      </c>
      <c r="J735" s="114" t="str">
        <f>VLOOKUP(I735,Presupuesto!$B$11:$C$565,2,0)</f>
        <v>SUELDOS Y SALARIOS PERMANENTES</v>
      </c>
      <c r="K735" s="98" t="str">
        <f t="shared" si="21"/>
        <v>Posgrado</v>
      </c>
      <c r="L735" s="98" t="s">
        <v>393</v>
      </c>
    </row>
    <row r="736" spans="3:12" x14ac:dyDescent="0.25">
      <c r="C736" s="171" t="s">
        <v>58</v>
      </c>
      <c r="D736" s="169"/>
      <c r="E736" s="131">
        <v>0</v>
      </c>
      <c r="F736" s="119">
        <f>IF(E735=0,"",(G735/E735)/12*E735)</f>
        <v>0</v>
      </c>
      <c r="G736" s="120">
        <f>F736</f>
        <v>0</v>
      </c>
      <c r="H736" s="164"/>
      <c r="I736" s="101" t="s">
        <v>515</v>
      </c>
      <c r="J736" s="101" t="str">
        <f>VLOOKUP(I736,Presupuesto!$B$11:$C$565,2,0)</f>
        <v>AGUINALDO Y DECIMO CUARTO MES</v>
      </c>
      <c r="K736" s="98" t="str">
        <f t="shared" si="21"/>
        <v>Posgrado</v>
      </c>
      <c r="L736" s="98" t="s">
        <v>393</v>
      </c>
    </row>
    <row r="737" spans="3:12" ht="15.75" thickBot="1" x14ac:dyDescent="0.3">
      <c r="C737" s="173" t="s">
        <v>59</v>
      </c>
      <c r="D737" s="162"/>
      <c r="E737" s="132">
        <v>0</v>
      </c>
      <c r="F737" s="105">
        <f>IF(E735&lt;6,"",((E735-6)/12)*(G735/E735))</f>
        <v>0</v>
      </c>
      <c r="G737" s="105">
        <f>F737</f>
        <v>0</v>
      </c>
      <c r="H737" s="162"/>
      <c r="I737" s="106" t="s">
        <v>518</v>
      </c>
      <c r="J737" s="124" t="str">
        <f>VLOOKUP(I737,Presupuesto!$B$11:$C$565,2,0)</f>
        <v>DECIMOCUARTO MES</v>
      </c>
      <c r="K737" s="106" t="str">
        <f t="shared" si="21"/>
        <v>Posgrado</v>
      </c>
      <c r="L737" s="124" t="s">
        <v>393</v>
      </c>
    </row>
    <row r="739" spans="3:12" ht="15.75" thickBot="1" x14ac:dyDescent="0.3"/>
    <row r="740" spans="3:12" ht="15.75" thickBot="1" x14ac:dyDescent="0.3">
      <c r="C740" s="69" t="s">
        <v>43</v>
      </c>
      <c r="D740" s="30">
        <f>SUM(G747:G797)</f>
        <v>0</v>
      </c>
      <c r="E740" s="93"/>
      <c r="F740" s="93"/>
      <c r="G740" s="93"/>
      <c r="H740" s="76"/>
      <c r="I740" s="76"/>
      <c r="J740" s="76"/>
    </row>
    <row r="741" spans="3:12" x14ac:dyDescent="0.25">
      <c r="D741" s="31"/>
      <c r="E741" s="93"/>
      <c r="F741" s="93"/>
      <c r="G741" s="93"/>
      <c r="H741" s="76"/>
      <c r="I741" s="76"/>
      <c r="J741" s="76"/>
    </row>
    <row r="742" spans="3:12" x14ac:dyDescent="0.25">
      <c r="D742" s="31"/>
      <c r="E742" s="93"/>
      <c r="F742" s="93"/>
      <c r="G742" s="93"/>
      <c r="H742" s="76"/>
      <c r="I742" s="76"/>
      <c r="J742" s="76"/>
    </row>
    <row r="743" spans="3:12" ht="15.75" x14ac:dyDescent="0.25">
      <c r="C743" s="202" t="s">
        <v>391</v>
      </c>
      <c r="D743" s="368"/>
      <c r="E743" s="93"/>
      <c r="F743" s="93"/>
      <c r="G743" s="93"/>
      <c r="H743" s="76"/>
      <c r="I743" s="76"/>
      <c r="J743" s="76"/>
      <c r="K743" s="153"/>
    </row>
    <row r="744" spans="3:12" ht="18.75" x14ac:dyDescent="0.25">
      <c r="C744" s="210" t="e">
        <f>IFERROR(VLOOKUP(D743,'1. Desarrollo e Innov. Curricu.'!$F:$G,2,FALSE),IFERROR(VLOOKUP(D743,'2. Investigación Científica'!$F:$G,2,FALSE),IFERROR(VLOOKUP(D743,'3. Vinculación Univ. Sociedad'!$F:$G,2,FALSE),IFERROR(VLOOKUP(D743,'4. Docencia y Profesorado Univ.'!$F:$G,2,FALSE),IFERROR(VLOOKUP(D743,'5. Estudiantes y Graduados'!$F:$G,2,FALSE),IFERROR(VLOOKUP(D743,'11. Gestion Administrativa'!$F:$G,2,FALSE),IFERROR(VLOOKUP(D743,'13. Gestión Académica'!$F:$G,2,FALSE),IFERROR(VLOOKUP(D743,'9. Asegura. de la Calid. y M'!$F:$G,2,FALSE),IFERROR(VLOOKUP(D743,'6. Gestión del Conocimiento'!$F:$G,2,FALSE),IFERROR(VLOOKUP(D743,'15. Gobernabilidad y Proceso...'!$F:$G,2,FALSE),IFERROR(VLOOKUP(D743,'12. Gestión del Talento Humano'!$F:$G,2,FALSE),IFERROR(VLOOKUP(D743,'14. Internacional... de la E.S.'!$F:$G,2,FALSE),IFERROR(VLOOKUP(D743,'10. Posgrado'!$F:$G,2,FALSE),IFERROR(VLOOKUP(D743,'17. Gestión TIC'!$F:$G,2,FALSE),IFERROR(VLOOKUP(D743,'16. Desa. del Sistema Educ.Sup.'!$F:$G,2,FALSE),IFERROR(VLOOKUP(D743,'8. Cultura de Inno. Insti...'!$F:$G,2,FALSE),VLOOKUP(D743,'7. Lo Esencial de la Reforma U.'!$F:$G,2,0)))))))))))))))))</f>
        <v>#N/A</v>
      </c>
      <c r="D744" s="31"/>
      <c r="E744" s="93"/>
      <c r="F744" s="93"/>
      <c r="G744" s="93"/>
      <c r="H744" s="76"/>
      <c r="I744" s="76"/>
      <c r="J744" s="76"/>
      <c r="K744" s="153"/>
    </row>
    <row r="745" spans="3:12" ht="15.75" thickBot="1" x14ac:dyDescent="0.3">
      <c r="C745" s="177"/>
      <c r="D745" s="31"/>
      <c r="E745" s="93"/>
      <c r="F745" s="93"/>
      <c r="G745" s="93"/>
      <c r="H745" s="76"/>
      <c r="I745" s="76"/>
      <c r="J745" s="76"/>
      <c r="K745" s="153"/>
    </row>
    <row r="746" spans="3:12" ht="30.75" thickBot="1" x14ac:dyDescent="0.3">
      <c r="C746" s="134" t="s">
        <v>44</v>
      </c>
      <c r="D746" s="138" t="s">
        <v>55</v>
      </c>
      <c r="E746" s="170" t="s">
        <v>56</v>
      </c>
      <c r="F746" s="138" t="s">
        <v>57</v>
      </c>
      <c r="G746" s="135" t="s">
        <v>27</v>
      </c>
      <c r="H746" s="133" t="s">
        <v>130</v>
      </c>
      <c r="I746" s="136" t="s">
        <v>46</v>
      </c>
      <c r="J746" s="136" t="s">
        <v>131</v>
      </c>
      <c r="K746" s="136" t="s">
        <v>409</v>
      </c>
      <c r="L746" s="136" t="s">
        <v>410</v>
      </c>
    </row>
    <row r="747" spans="3:12" ht="15.75" thickBot="1" x14ac:dyDescent="0.3">
      <c r="C747" s="137" t="s">
        <v>481</v>
      </c>
      <c r="D747" s="199"/>
      <c r="E747" s="152">
        <v>12</v>
      </c>
      <c r="F747" s="303">
        <f>HLOOKUP($C747,$BZ$2:$CM$3,2,0)</f>
        <v>43674.39</v>
      </c>
      <c r="G747" s="113">
        <f>D747*E747*F747</f>
        <v>0</v>
      </c>
      <c r="H747" s="166"/>
      <c r="I747" s="114" t="s">
        <v>495</v>
      </c>
      <c r="J747" s="114" t="str">
        <f>VLOOKUP(I747,Presupuesto!$B$11:$C$565,2,0)</f>
        <v>SUELDOS Y SALARIOS PERMANENTES</v>
      </c>
      <c r="K747" s="218" t="s">
        <v>1449</v>
      </c>
      <c r="L747" s="98" t="s">
        <v>393</v>
      </c>
    </row>
    <row r="748" spans="3:12" x14ac:dyDescent="0.25">
      <c r="C748" s="171" t="s">
        <v>58</v>
      </c>
      <c r="D748" s="163"/>
      <c r="E748" s="154">
        <v>0</v>
      </c>
      <c r="F748" s="100">
        <f>IF(E747=0,"",(G747/E747)/12*E747)</f>
        <v>0</v>
      </c>
      <c r="G748" s="97">
        <f>F748</f>
        <v>0</v>
      </c>
      <c r="H748" s="164"/>
      <c r="I748" s="116" t="s">
        <v>515</v>
      </c>
      <c r="J748" s="116" t="str">
        <f>VLOOKUP(I748,Presupuesto!$B$11:$C$565,2,0)</f>
        <v>AGUINALDO Y DECIMO CUARTO MES</v>
      </c>
      <c r="K748" s="98" t="str">
        <f t="shared" ref="K748:K779" si="22">$K$747</f>
        <v>Posgrado</v>
      </c>
      <c r="L748" s="98" t="s">
        <v>411</v>
      </c>
    </row>
    <row r="749" spans="3:12" ht="15.75" thickBot="1" x14ac:dyDescent="0.3">
      <c r="C749" s="172" t="s">
        <v>59</v>
      </c>
      <c r="D749" s="163"/>
      <c r="E749" s="154">
        <v>0</v>
      </c>
      <c r="F749" s="117">
        <f>IF(E747&lt;6,"",((E747-6)/12)*(G747/E747))</f>
        <v>0</v>
      </c>
      <c r="G749" s="97">
        <f>F749</f>
        <v>0</v>
      </c>
      <c r="H749" s="164"/>
      <c r="I749" s="101" t="s">
        <v>518</v>
      </c>
      <c r="J749" s="101" t="str">
        <f>VLOOKUP(I749,Presupuesto!$B$11:$C$565,2,0)</f>
        <v>DECIMOCUARTO MES</v>
      </c>
      <c r="K749" s="98" t="str">
        <f t="shared" si="22"/>
        <v>Posgrado</v>
      </c>
      <c r="L749" s="98" t="s">
        <v>394</v>
      </c>
    </row>
    <row r="750" spans="3:12" ht="15.75" thickBot="1" x14ac:dyDescent="0.3">
      <c r="C750" s="137" t="s">
        <v>482</v>
      </c>
      <c r="D750" s="199"/>
      <c r="E750" s="152">
        <v>12</v>
      </c>
      <c r="F750" s="303">
        <f>HLOOKUP($C750,$BZ$2:$CM$3,2,0)</f>
        <v>39703.99</v>
      </c>
      <c r="G750" s="113">
        <f>D750*E750*F750</f>
        <v>0</v>
      </c>
      <c r="H750" s="166"/>
      <c r="I750" s="114" t="s">
        <v>495</v>
      </c>
      <c r="J750" s="114" t="str">
        <f>VLOOKUP(I750,Presupuesto!$B$11:$C$565,2,0)</f>
        <v>SUELDOS Y SALARIOS PERMANENTES</v>
      </c>
      <c r="K750" s="98" t="str">
        <f t="shared" si="22"/>
        <v>Posgrado</v>
      </c>
      <c r="L750" s="98" t="s">
        <v>394</v>
      </c>
    </row>
    <row r="751" spans="3:12" x14ac:dyDescent="0.25">
      <c r="C751" s="171" t="s">
        <v>58</v>
      </c>
      <c r="D751" s="163"/>
      <c r="E751" s="154">
        <v>0</v>
      </c>
      <c r="F751" s="100">
        <f>IF(E750=0,"",(G750/E750)/12*E750)</f>
        <v>0</v>
      </c>
      <c r="G751" s="97">
        <f>F751</f>
        <v>0</v>
      </c>
      <c r="H751" s="164"/>
      <c r="I751" s="116" t="s">
        <v>515</v>
      </c>
      <c r="J751" s="116" t="str">
        <f>VLOOKUP(I751,Presupuesto!$B$11:$C$565,2,0)</f>
        <v>AGUINALDO Y DECIMO CUARTO MES</v>
      </c>
      <c r="K751" s="98" t="str">
        <f t="shared" si="22"/>
        <v>Posgrado</v>
      </c>
      <c r="L751" s="98" t="s">
        <v>394</v>
      </c>
    </row>
    <row r="752" spans="3:12" ht="15.75" thickBot="1" x14ac:dyDescent="0.3">
      <c r="C752" s="172" t="s">
        <v>59</v>
      </c>
      <c r="D752" s="163"/>
      <c r="E752" s="154">
        <v>0</v>
      </c>
      <c r="F752" s="117">
        <f>IF(E750&lt;6,"",((E750-6)/12)*(G750/E750))</f>
        <v>0</v>
      </c>
      <c r="G752" s="97">
        <f>F752</f>
        <v>0</v>
      </c>
      <c r="H752" s="164"/>
      <c r="I752" s="101" t="s">
        <v>518</v>
      </c>
      <c r="J752" s="101" t="str">
        <f>VLOOKUP(I752,Presupuesto!$B$11:$C$565,2,0)</f>
        <v>DECIMOCUARTO MES</v>
      </c>
      <c r="K752" s="98" t="str">
        <f t="shared" si="22"/>
        <v>Posgrado</v>
      </c>
      <c r="L752" s="98" t="s">
        <v>394</v>
      </c>
    </row>
    <row r="753" spans="3:12" ht="15.75" thickBot="1" x14ac:dyDescent="0.3">
      <c r="C753" s="137" t="s">
        <v>483</v>
      </c>
      <c r="D753" s="199"/>
      <c r="E753" s="152">
        <v>12</v>
      </c>
      <c r="F753" s="303">
        <f>HLOOKUP($C753,$BZ$2:$CM$3,2,0)</f>
        <v>35733.589999999997</v>
      </c>
      <c r="G753" s="113">
        <f>D753*E753*F753</f>
        <v>0</v>
      </c>
      <c r="H753" s="166"/>
      <c r="I753" s="114" t="s">
        <v>495</v>
      </c>
      <c r="J753" s="114" t="str">
        <f>VLOOKUP(I753,Presupuesto!$B$11:$C$565,2,0)</f>
        <v>SUELDOS Y SALARIOS PERMANENTES</v>
      </c>
      <c r="K753" s="98" t="str">
        <f t="shared" si="22"/>
        <v>Posgrado</v>
      </c>
      <c r="L753" s="98" t="s">
        <v>394</v>
      </c>
    </row>
    <row r="754" spans="3:12" x14ac:dyDescent="0.25">
      <c r="C754" s="171" t="s">
        <v>58</v>
      </c>
      <c r="D754" s="163"/>
      <c r="E754" s="154">
        <v>0</v>
      </c>
      <c r="F754" s="100">
        <f>IF(E753=0,"",(G753/E753)/12*E753)</f>
        <v>0</v>
      </c>
      <c r="G754" s="97">
        <f>F754</f>
        <v>0</v>
      </c>
      <c r="H754" s="164"/>
      <c r="I754" s="116" t="s">
        <v>515</v>
      </c>
      <c r="J754" s="116" t="str">
        <f>VLOOKUP(I754,Presupuesto!$B$11:$C$565,2,0)</f>
        <v>AGUINALDO Y DECIMO CUARTO MES</v>
      </c>
      <c r="K754" s="98" t="str">
        <f t="shared" si="22"/>
        <v>Posgrado</v>
      </c>
      <c r="L754" s="98" t="s">
        <v>394</v>
      </c>
    </row>
    <row r="755" spans="3:12" ht="15.75" thickBot="1" x14ac:dyDescent="0.3">
      <c r="C755" s="172" t="s">
        <v>59</v>
      </c>
      <c r="D755" s="163"/>
      <c r="E755" s="154">
        <v>0</v>
      </c>
      <c r="F755" s="117">
        <f>IF(E753&lt;6,"",((E753-6)/12)*(G753/E753))</f>
        <v>0</v>
      </c>
      <c r="G755" s="97">
        <f>F755</f>
        <v>0</v>
      </c>
      <c r="H755" s="164"/>
      <c r="I755" s="101" t="s">
        <v>518</v>
      </c>
      <c r="J755" s="101" t="str">
        <f>VLOOKUP(I755,Presupuesto!$B$11:$C$565,2,0)</f>
        <v>DECIMOCUARTO MES</v>
      </c>
      <c r="K755" s="98" t="str">
        <f t="shared" si="22"/>
        <v>Posgrado</v>
      </c>
      <c r="L755" s="98" t="s">
        <v>394</v>
      </c>
    </row>
    <row r="756" spans="3:12" ht="15.75" thickBot="1" x14ac:dyDescent="0.3">
      <c r="C756" s="137" t="s">
        <v>484</v>
      </c>
      <c r="D756" s="199"/>
      <c r="E756" s="152">
        <v>12</v>
      </c>
      <c r="F756" s="303">
        <f>HLOOKUP($C756,$BZ$2:$CM$3,2,0)</f>
        <v>31763.19</v>
      </c>
      <c r="G756" s="113">
        <f>D756*E756*F756</f>
        <v>0</v>
      </c>
      <c r="H756" s="166"/>
      <c r="I756" s="114" t="s">
        <v>495</v>
      </c>
      <c r="J756" s="114" t="str">
        <f>VLOOKUP(I756,Presupuesto!$B$11:$C$565,2,0)</f>
        <v>SUELDOS Y SALARIOS PERMANENTES</v>
      </c>
      <c r="K756" s="98" t="str">
        <f t="shared" si="22"/>
        <v>Posgrado</v>
      </c>
      <c r="L756" s="98" t="s">
        <v>394</v>
      </c>
    </row>
    <row r="757" spans="3:12" x14ac:dyDescent="0.25">
      <c r="C757" s="171" t="s">
        <v>58</v>
      </c>
      <c r="D757" s="163"/>
      <c r="E757" s="154">
        <v>0</v>
      </c>
      <c r="F757" s="100">
        <f>IF(E756=0,"",(G756/E756)/12*E756)</f>
        <v>0</v>
      </c>
      <c r="G757" s="97">
        <f>F757</f>
        <v>0</v>
      </c>
      <c r="H757" s="164"/>
      <c r="I757" s="116" t="s">
        <v>515</v>
      </c>
      <c r="J757" s="116" t="str">
        <f>VLOOKUP(I757,Presupuesto!$B$11:$C$565,2,0)</f>
        <v>AGUINALDO Y DECIMO CUARTO MES</v>
      </c>
      <c r="K757" s="98" t="str">
        <f t="shared" si="22"/>
        <v>Posgrado</v>
      </c>
      <c r="L757" s="98" t="s">
        <v>394</v>
      </c>
    </row>
    <row r="758" spans="3:12" ht="15.75" thickBot="1" x14ac:dyDescent="0.3">
      <c r="C758" s="172" t="s">
        <v>59</v>
      </c>
      <c r="D758" s="163"/>
      <c r="E758" s="154">
        <v>0</v>
      </c>
      <c r="F758" s="117">
        <f>IF(E756&lt;6,"",((E756-6)/12)*(G756/E756))</f>
        <v>0</v>
      </c>
      <c r="G758" s="97">
        <f>F758</f>
        <v>0</v>
      </c>
      <c r="H758" s="164"/>
      <c r="I758" s="101" t="s">
        <v>518</v>
      </c>
      <c r="J758" s="101" t="str">
        <f>VLOOKUP(I758,Presupuesto!$B$11:$C$565,2,0)</f>
        <v>DECIMOCUARTO MES</v>
      </c>
      <c r="K758" s="98" t="str">
        <f t="shared" si="22"/>
        <v>Posgrado</v>
      </c>
      <c r="L758" s="98" t="s">
        <v>394</v>
      </c>
    </row>
    <row r="759" spans="3:12" ht="15.75" thickBot="1" x14ac:dyDescent="0.3">
      <c r="C759" s="137" t="s">
        <v>485</v>
      </c>
      <c r="D759" s="199"/>
      <c r="E759" s="152">
        <v>12</v>
      </c>
      <c r="F759" s="303">
        <f>HLOOKUP($C759,$BZ$2:$CM$3,2,0)</f>
        <v>29777.99</v>
      </c>
      <c r="G759" s="113">
        <f>D759*E759*F759</f>
        <v>0</v>
      </c>
      <c r="H759" s="166"/>
      <c r="I759" s="114" t="s">
        <v>495</v>
      </c>
      <c r="J759" s="114" t="str">
        <f>VLOOKUP(I759,Presupuesto!$B$11:$C$565,2,0)</f>
        <v>SUELDOS Y SALARIOS PERMANENTES</v>
      </c>
      <c r="K759" s="98" t="str">
        <f t="shared" si="22"/>
        <v>Posgrado</v>
      </c>
      <c r="L759" s="98" t="s">
        <v>394</v>
      </c>
    </row>
    <row r="760" spans="3:12" x14ac:dyDescent="0.25">
      <c r="C760" s="171" t="s">
        <v>58</v>
      </c>
      <c r="D760" s="163"/>
      <c r="E760" s="154">
        <v>0</v>
      </c>
      <c r="F760" s="100">
        <f>IF(E759=0,"",(G759/E759)/12*E759)</f>
        <v>0</v>
      </c>
      <c r="G760" s="97">
        <f>F760</f>
        <v>0</v>
      </c>
      <c r="H760" s="164"/>
      <c r="I760" s="116" t="s">
        <v>515</v>
      </c>
      <c r="J760" s="116" t="str">
        <f>VLOOKUP(I760,Presupuesto!$B$11:$C$565,2,0)</f>
        <v>AGUINALDO Y DECIMO CUARTO MES</v>
      </c>
      <c r="K760" s="98" t="str">
        <f t="shared" si="22"/>
        <v>Posgrado</v>
      </c>
      <c r="L760" s="98" t="s">
        <v>394</v>
      </c>
    </row>
    <row r="761" spans="3:12" ht="15.75" thickBot="1" x14ac:dyDescent="0.3">
      <c r="C761" s="172" t="s">
        <v>59</v>
      </c>
      <c r="D761" s="163"/>
      <c r="E761" s="154">
        <v>0</v>
      </c>
      <c r="F761" s="117">
        <f>IF(E759&lt;6,"",((E759-6)/12)*(G759/E759))</f>
        <v>0</v>
      </c>
      <c r="G761" s="97">
        <f>F761</f>
        <v>0</v>
      </c>
      <c r="H761" s="164"/>
      <c r="I761" s="101" t="s">
        <v>518</v>
      </c>
      <c r="J761" s="101" t="str">
        <f>VLOOKUP(I761,Presupuesto!$B$11:$C$565,2,0)</f>
        <v>DECIMOCUARTO MES</v>
      </c>
      <c r="K761" s="98" t="str">
        <f t="shared" si="22"/>
        <v>Posgrado</v>
      </c>
      <c r="L761" s="98" t="s">
        <v>394</v>
      </c>
    </row>
    <row r="762" spans="3:12" ht="15.75" thickBot="1" x14ac:dyDescent="0.3">
      <c r="C762" s="137" t="s">
        <v>486</v>
      </c>
      <c r="D762" s="199"/>
      <c r="E762" s="152">
        <v>12</v>
      </c>
      <c r="F762" s="303">
        <f>HLOOKUP($C762,$BZ$2:$CM$3,2,0)</f>
        <v>27792.79</v>
      </c>
      <c r="G762" s="113">
        <f>D762*E762*F762</f>
        <v>0</v>
      </c>
      <c r="H762" s="166"/>
      <c r="I762" s="114" t="s">
        <v>495</v>
      </c>
      <c r="J762" s="114" t="str">
        <f>VLOOKUP(I762,Presupuesto!$B$11:$C$565,2,0)</f>
        <v>SUELDOS Y SALARIOS PERMANENTES</v>
      </c>
      <c r="K762" s="98" t="str">
        <f t="shared" si="22"/>
        <v>Posgrado</v>
      </c>
      <c r="L762" s="98" t="s">
        <v>394</v>
      </c>
    </row>
    <row r="763" spans="3:12" x14ac:dyDescent="0.25">
      <c r="C763" s="171" t="s">
        <v>58</v>
      </c>
      <c r="D763" s="163"/>
      <c r="E763" s="154">
        <v>0</v>
      </c>
      <c r="F763" s="100">
        <f>IF(E762=0,"",(G762/E762)/12*E762)</f>
        <v>0</v>
      </c>
      <c r="G763" s="97">
        <f>F763</f>
        <v>0</v>
      </c>
      <c r="H763" s="164"/>
      <c r="I763" s="116" t="s">
        <v>515</v>
      </c>
      <c r="J763" s="116" t="str">
        <f>VLOOKUP(I763,Presupuesto!$B$11:$C$565,2,0)</f>
        <v>AGUINALDO Y DECIMO CUARTO MES</v>
      </c>
      <c r="K763" s="98" t="str">
        <f t="shared" si="22"/>
        <v>Posgrado</v>
      </c>
      <c r="L763" s="98" t="s">
        <v>394</v>
      </c>
    </row>
    <row r="764" spans="3:12" ht="15.75" thickBot="1" x14ac:dyDescent="0.3">
      <c r="C764" s="172" t="s">
        <v>59</v>
      </c>
      <c r="D764" s="163"/>
      <c r="E764" s="154">
        <v>0</v>
      </c>
      <c r="F764" s="117">
        <f>IF(E762&lt;6,"",((E762-6)/12)*(G762/E762))</f>
        <v>0</v>
      </c>
      <c r="G764" s="97">
        <f>F764</f>
        <v>0</v>
      </c>
      <c r="H764" s="164"/>
      <c r="I764" s="101" t="s">
        <v>518</v>
      </c>
      <c r="J764" s="101" t="str">
        <f>VLOOKUP(I764,Presupuesto!$B$11:$C$565,2,0)</f>
        <v>DECIMOCUARTO MES</v>
      </c>
      <c r="K764" s="98" t="str">
        <f t="shared" si="22"/>
        <v>Posgrado</v>
      </c>
      <c r="L764" s="98" t="s">
        <v>394</v>
      </c>
    </row>
    <row r="765" spans="3:12" ht="15.75" thickBot="1" x14ac:dyDescent="0.3">
      <c r="C765" s="137" t="s">
        <v>487</v>
      </c>
      <c r="D765" s="199"/>
      <c r="E765" s="152">
        <v>12</v>
      </c>
      <c r="F765" s="303">
        <f>HLOOKUP($C765,$BZ$2:$CM$3,2,0)</f>
        <v>18859.39</v>
      </c>
      <c r="G765" s="113">
        <f>D765*E765*F765</f>
        <v>0</v>
      </c>
      <c r="H765" s="166"/>
      <c r="I765" s="114" t="s">
        <v>495</v>
      </c>
      <c r="J765" s="114" t="str">
        <f>VLOOKUP(I765,Presupuesto!$B$11:$C$565,2,0)</f>
        <v>SUELDOS Y SALARIOS PERMANENTES</v>
      </c>
      <c r="K765" s="98" t="str">
        <f t="shared" si="22"/>
        <v>Posgrado</v>
      </c>
      <c r="L765" s="98" t="s">
        <v>394</v>
      </c>
    </row>
    <row r="766" spans="3:12" x14ac:dyDescent="0.25">
      <c r="C766" s="171" t="s">
        <v>58</v>
      </c>
      <c r="D766" s="163"/>
      <c r="E766" s="154">
        <v>0</v>
      </c>
      <c r="F766" s="100">
        <f>IF(E765=0,"",(G765/E765)/12*E765)</f>
        <v>0</v>
      </c>
      <c r="G766" s="97">
        <f>F766</f>
        <v>0</v>
      </c>
      <c r="H766" s="164"/>
      <c r="I766" s="116" t="s">
        <v>515</v>
      </c>
      <c r="J766" s="116" t="str">
        <f>VLOOKUP(I766,Presupuesto!$B$11:$C$565,2,0)</f>
        <v>AGUINALDO Y DECIMO CUARTO MES</v>
      </c>
      <c r="K766" s="98" t="str">
        <f t="shared" si="22"/>
        <v>Posgrado</v>
      </c>
      <c r="L766" s="98" t="s">
        <v>394</v>
      </c>
    </row>
    <row r="767" spans="3:12" ht="15.75" thickBot="1" x14ac:dyDescent="0.3">
      <c r="C767" s="172" t="s">
        <v>59</v>
      </c>
      <c r="D767" s="163"/>
      <c r="E767" s="154">
        <v>0</v>
      </c>
      <c r="F767" s="117">
        <f>IF(E765&lt;6,"",((E765-6)/12)*(G765/E765))</f>
        <v>0</v>
      </c>
      <c r="G767" s="97">
        <f>F767</f>
        <v>0</v>
      </c>
      <c r="H767" s="164"/>
      <c r="I767" s="101" t="s">
        <v>518</v>
      </c>
      <c r="J767" s="101" t="str">
        <f>VLOOKUP(I767,Presupuesto!$B$11:$C$565,2,0)</f>
        <v>DECIMOCUARTO MES</v>
      </c>
      <c r="K767" s="98" t="str">
        <f t="shared" si="22"/>
        <v>Posgrado</v>
      </c>
      <c r="L767" s="98" t="s">
        <v>394</v>
      </c>
    </row>
    <row r="768" spans="3:12" ht="15.75" thickBot="1" x14ac:dyDescent="0.3">
      <c r="C768" s="137" t="s">
        <v>488</v>
      </c>
      <c r="D768" s="199"/>
      <c r="E768" s="152">
        <v>12</v>
      </c>
      <c r="F768" s="303">
        <f>HLOOKUP($C768,$BZ$2:$CM$3,2,0)</f>
        <v>17866.8</v>
      </c>
      <c r="G768" s="113">
        <f>D768*E768*F768</f>
        <v>0</v>
      </c>
      <c r="H768" s="166"/>
      <c r="I768" s="114" t="s">
        <v>495</v>
      </c>
      <c r="J768" s="114" t="str">
        <f>VLOOKUP(I768,Presupuesto!$B$11:$C$565,2,0)</f>
        <v>SUELDOS Y SALARIOS PERMANENTES</v>
      </c>
      <c r="K768" s="98" t="str">
        <f t="shared" si="22"/>
        <v>Posgrado</v>
      </c>
      <c r="L768" s="98" t="s">
        <v>394</v>
      </c>
    </row>
    <row r="769" spans="3:12" x14ac:dyDescent="0.25">
      <c r="C769" s="171" t="s">
        <v>58</v>
      </c>
      <c r="D769" s="163"/>
      <c r="E769" s="154">
        <v>0</v>
      </c>
      <c r="F769" s="100">
        <f>IF(E768=0,"",(G768/E768)/12*E768)</f>
        <v>0</v>
      </c>
      <c r="G769" s="97">
        <f>F769</f>
        <v>0</v>
      </c>
      <c r="H769" s="164"/>
      <c r="I769" s="116" t="s">
        <v>515</v>
      </c>
      <c r="J769" s="116" t="str">
        <f>VLOOKUP(I769,Presupuesto!$B$11:$C$565,2,0)</f>
        <v>AGUINALDO Y DECIMO CUARTO MES</v>
      </c>
      <c r="K769" s="98" t="str">
        <f t="shared" si="22"/>
        <v>Posgrado</v>
      </c>
      <c r="L769" s="98" t="s">
        <v>394</v>
      </c>
    </row>
    <row r="770" spans="3:12" ht="15.75" thickBot="1" x14ac:dyDescent="0.3">
      <c r="C770" s="172" t="s">
        <v>59</v>
      </c>
      <c r="D770" s="163"/>
      <c r="E770" s="154">
        <v>0</v>
      </c>
      <c r="F770" s="117">
        <f>IF(E768&lt;6,"",((E768-6)/12)*(G768/E768))</f>
        <v>0</v>
      </c>
      <c r="G770" s="97">
        <f>F770</f>
        <v>0</v>
      </c>
      <c r="H770" s="164"/>
      <c r="I770" s="101" t="s">
        <v>518</v>
      </c>
      <c r="J770" s="101" t="str">
        <f>VLOOKUP(I770,Presupuesto!$B$11:$C$565,2,0)</f>
        <v>DECIMOCUARTO MES</v>
      </c>
      <c r="K770" s="98" t="str">
        <f t="shared" si="22"/>
        <v>Posgrado</v>
      </c>
      <c r="L770" s="98" t="s">
        <v>394</v>
      </c>
    </row>
    <row r="771" spans="3:12" ht="15.75" thickBot="1" x14ac:dyDescent="0.3">
      <c r="C771" s="137" t="s">
        <v>489</v>
      </c>
      <c r="D771" s="199"/>
      <c r="E771" s="152">
        <v>12</v>
      </c>
      <c r="F771" s="303">
        <f>HLOOKUP($C771,$BZ$2:$CM$3,2,0)</f>
        <v>13896.4</v>
      </c>
      <c r="G771" s="113">
        <f>D771*E771*F771</f>
        <v>0</v>
      </c>
      <c r="H771" s="166"/>
      <c r="I771" s="114" t="s">
        <v>495</v>
      </c>
      <c r="J771" s="114" t="str">
        <f>VLOOKUP(I771,Presupuesto!$B$11:$C$565,2,0)</f>
        <v>SUELDOS Y SALARIOS PERMANENTES</v>
      </c>
      <c r="K771" s="98" t="str">
        <f t="shared" si="22"/>
        <v>Posgrado</v>
      </c>
      <c r="L771" s="98" t="s">
        <v>394</v>
      </c>
    </row>
    <row r="772" spans="3:12" x14ac:dyDescent="0.25">
      <c r="C772" s="171" t="s">
        <v>58</v>
      </c>
      <c r="D772" s="163"/>
      <c r="E772" s="154">
        <v>0</v>
      </c>
      <c r="F772" s="100">
        <f>IF(E771=0,"",(G771/E771)/12*E771)</f>
        <v>0</v>
      </c>
      <c r="G772" s="97">
        <f>F772</f>
        <v>0</v>
      </c>
      <c r="H772" s="164"/>
      <c r="I772" s="116" t="s">
        <v>515</v>
      </c>
      <c r="J772" s="116" t="str">
        <f>VLOOKUP(I772,Presupuesto!$B$11:$C$565,2,0)</f>
        <v>AGUINALDO Y DECIMO CUARTO MES</v>
      </c>
      <c r="K772" s="98" t="str">
        <f t="shared" si="22"/>
        <v>Posgrado</v>
      </c>
      <c r="L772" s="98" t="s">
        <v>394</v>
      </c>
    </row>
    <row r="773" spans="3:12" ht="15.75" thickBot="1" x14ac:dyDescent="0.3">
      <c r="C773" s="172" t="s">
        <v>59</v>
      </c>
      <c r="D773" s="163"/>
      <c r="E773" s="154">
        <v>0</v>
      </c>
      <c r="F773" s="117">
        <f>IF(E771&lt;6,"",((E771-6)/12)*(G771/E771))</f>
        <v>0</v>
      </c>
      <c r="G773" s="97">
        <f>F773</f>
        <v>0</v>
      </c>
      <c r="H773" s="164"/>
      <c r="I773" s="101" t="s">
        <v>518</v>
      </c>
      <c r="J773" s="101" t="str">
        <f>VLOOKUP(I773,Presupuesto!$B$11:$C$565,2,0)</f>
        <v>DECIMOCUARTO MES</v>
      </c>
      <c r="K773" s="98" t="str">
        <f t="shared" si="22"/>
        <v>Posgrado</v>
      </c>
      <c r="L773" s="98" t="s">
        <v>394</v>
      </c>
    </row>
    <row r="774" spans="3:12" ht="15.75" thickBot="1" x14ac:dyDescent="0.3">
      <c r="C774" s="137" t="s">
        <v>490</v>
      </c>
      <c r="D774" s="199"/>
      <c r="E774" s="152">
        <v>12</v>
      </c>
      <c r="F774" s="303">
        <f>HLOOKUP($C774,$BZ$2:$CM$3,2,0)</f>
        <v>15004.09</v>
      </c>
      <c r="G774" s="113">
        <f>D774*E774*F774</f>
        <v>0</v>
      </c>
      <c r="H774" s="166"/>
      <c r="I774" s="114" t="s">
        <v>495</v>
      </c>
      <c r="J774" s="114" t="str">
        <f>VLOOKUP(I774,Presupuesto!$B$11:$C$565,2,0)</f>
        <v>SUELDOS Y SALARIOS PERMANENTES</v>
      </c>
      <c r="K774" s="98" t="str">
        <f t="shared" si="22"/>
        <v>Posgrado</v>
      </c>
      <c r="L774" s="98" t="s">
        <v>394</v>
      </c>
    </row>
    <row r="775" spans="3:12" x14ac:dyDescent="0.25">
      <c r="C775" s="171" t="s">
        <v>58</v>
      </c>
      <c r="D775" s="163"/>
      <c r="E775" s="154">
        <v>0</v>
      </c>
      <c r="F775" s="100">
        <f>IF(E774=0,"",(G774/E774)/12*E774)</f>
        <v>0</v>
      </c>
      <c r="G775" s="97">
        <f>F775</f>
        <v>0</v>
      </c>
      <c r="H775" s="164"/>
      <c r="I775" s="116" t="s">
        <v>515</v>
      </c>
      <c r="J775" s="116" t="str">
        <f>VLOOKUP(I775,Presupuesto!$B$11:$C$565,2,0)</f>
        <v>AGUINALDO Y DECIMO CUARTO MES</v>
      </c>
      <c r="K775" s="98" t="str">
        <f t="shared" si="22"/>
        <v>Posgrado</v>
      </c>
      <c r="L775" s="98" t="s">
        <v>394</v>
      </c>
    </row>
    <row r="776" spans="3:12" ht="15.75" thickBot="1" x14ac:dyDescent="0.3">
      <c r="C776" s="172" t="s">
        <v>59</v>
      </c>
      <c r="D776" s="163"/>
      <c r="E776" s="154">
        <v>0</v>
      </c>
      <c r="F776" s="117">
        <f>IF(E774&lt;6,"",((E774-6)/12)*(G774/E774))</f>
        <v>0</v>
      </c>
      <c r="G776" s="97">
        <f>F776</f>
        <v>0</v>
      </c>
      <c r="H776" s="164"/>
      <c r="I776" s="101" t="s">
        <v>518</v>
      </c>
      <c r="J776" s="101" t="str">
        <f>VLOOKUP(I776,Presupuesto!$B$11:$C$565,2,0)</f>
        <v>DECIMOCUARTO MES</v>
      </c>
      <c r="K776" s="98" t="str">
        <f t="shared" si="22"/>
        <v>Posgrado</v>
      </c>
      <c r="L776" s="98" t="s">
        <v>394</v>
      </c>
    </row>
    <row r="777" spans="3:12" ht="15.75" thickBot="1" x14ac:dyDescent="0.3">
      <c r="C777" s="137" t="s">
        <v>491</v>
      </c>
      <c r="D777" s="199"/>
      <c r="E777" s="152">
        <v>12</v>
      </c>
      <c r="F777" s="303">
        <f>HLOOKUP($C777,$BZ$2:$CM$3,2,0)</f>
        <v>13238.9</v>
      </c>
      <c r="G777" s="113">
        <f>D777*E777*F777</f>
        <v>0</v>
      </c>
      <c r="H777" s="166"/>
      <c r="I777" s="114" t="s">
        <v>495</v>
      </c>
      <c r="J777" s="114" t="str">
        <f>VLOOKUP(I777,Presupuesto!$B$11:$C$565,2,0)</f>
        <v>SUELDOS Y SALARIOS PERMANENTES</v>
      </c>
      <c r="K777" s="98" t="str">
        <f t="shared" si="22"/>
        <v>Posgrado</v>
      </c>
      <c r="L777" s="98" t="s">
        <v>394</v>
      </c>
    </row>
    <row r="778" spans="3:12" x14ac:dyDescent="0.25">
      <c r="C778" s="171" t="s">
        <v>58</v>
      </c>
      <c r="D778" s="163"/>
      <c r="E778" s="154">
        <v>0</v>
      </c>
      <c r="F778" s="100">
        <f>IF(E777=0,"",(G777/E777)/12*E777)</f>
        <v>0</v>
      </c>
      <c r="G778" s="97">
        <f>F778</f>
        <v>0</v>
      </c>
      <c r="H778" s="164"/>
      <c r="I778" s="116" t="s">
        <v>515</v>
      </c>
      <c r="J778" s="116" t="str">
        <f>VLOOKUP(I778,Presupuesto!$B$11:$C$565,2,0)</f>
        <v>AGUINALDO Y DECIMO CUARTO MES</v>
      </c>
      <c r="K778" s="98" t="str">
        <f t="shared" si="22"/>
        <v>Posgrado</v>
      </c>
      <c r="L778" s="98" t="s">
        <v>394</v>
      </c>
    </row>
    <row r="779" spans="3:12" ht="15.75" thickBot="1" x14ac:dyDescent="0.3">
      <c r="C779" s="172" t="s">
        <v>59</v>
      </c>
      <c r="D779" s="163"/>
      <c r="E779" s="154">
        <v>0</v>
      </c>
      <c r="F779" s="117">
        <f>IF(E777&lt;6,"",((E777-6)/12)*(G777/E777))</f>
        <v>0</v>
      </c>
      <c r="G779" s="97">
        <f>F779</f>
        <v>0</v>
      </c>
      <c r="H779" s="164"/>
      <c r="I779" s="101" t="s">
        <v>518</v>
      </c>
      <c r="J779" s="101" t="str">
        <f>VLOOKUP(I779,Presupuesto!$B$11:$C$565,2,0)</f>
        <v>DECIMOCUARTO MES</v>
      </c>
      <c r="K779" s="98" t="str">
        <f t="shared" si="22"/>
        <v>Posgrado</v>
      </c>
      <c r="L779" s="98" t="s">
        <v>394</v>
      </c>
    </row>
    <row r="780" spans="3:12" ht="15.75" thickBot="1" x14ac:dyDescent="0.3">
      <c r="C780" s="137" t="s">
        <v>492</v>
      </c>
      <c r="D780" s="199"/>
      <c r="E780" s="152">
        <v>12</v>
      </c>
      <c r="F780" s="303">
        <f>HLOOKUP($C780,$BZ$2:$CM$3,2,0)</f>
        <v>12356.31</v>
      </c>
      <c r="G780" s="113">
        <f>D780*E780*F780</f>
        <v>0</v>
      </c>
      <c r="H780" s="166"/>
      <c r="I780" s="114" t="s">
        <v>495</v>
      </c>
      <c r="J780" s="114" t="str">
        <f>VLOOKUP(I780,Presupuesto!$B$11:$C$565,2,0)</f>
        <v>SUELDOS Y SALARIOS PERMANENTES</v>
      </c>
      <c r="K780" s="98" t="str">
        <f t="shared" ref="K780:K797" si="23">$K$747</f>
        <v>Posgrado</v>
      </c>
      <c r="L780" s="98" t="s">
        <v>394</v>
      </c>
    </row>
    <row r="781" spans="3:12" x14ac:dyDescent="0.25">
      <c r="C781" s="171" t="s">
        <v>58</v>
      </c>
      <c r="D781" s="163"/>
      <c r="E781" s="154">
        <v>0</v>
      </c>
      <c r="F781" s="100">
        <f>IF(E780=0,"",(G780/E780)/12*E780)</f>
        <v>0</v>
      </c>
      <c r="G781" s="97">
        <f>F781</f>
        <v>0</v>
      </c>
      <c r="H781" s="164"/>
      <c r="I781" s="116" t="s">
        <v>515</v>
      </c>
      <c r="J781" s="116" t="str">
        <f>VLOOKUP(I781,Presupuesto!$B$11:$C$565,2,0)</f>
        <v>AGUINALDO Y DECIMO CUARTO MES</v>
      </c>
      <c r="K781" s="98" t="str">
        <f t="shared" si="23"/>
        <v>Posgrado</v>
      </c>
      <c r="L781" s="98" t="s">
        <v>394</v>
      </c>
    </row>
    <row r="782" spans="3:12" ht="15.75" thickBot="1" x14ac:dyDescent="0.3">
      <c r="C782" s="172" t="s">
        <v>59</v>
      </c>
      <c r="D782" s="163"/>
      <c r="E782" s="154">
        <v>0</v>
      </c>
      <c r="F782" s="117">
        <f>IF(E780&lt;6,"",((E780-6)/12)*(G780/E780))</f>
        <v>0</v>
      </c>
      <c r="G782" s="97">
        <f>F782</f>
        <v>0</v>
      </c>
      <c r="H782" s="164"/>
      <c r="I782" s="101" t="s">
        <v>518</v>
      </c>
      <c r="J782" s="101" t="str">
        <f>VLOOKUP(I782,Presupuesto!$B$11:$C$565,2,0)</f>
        <v>DECIMOCUARTO MES</v>
      </c>
      <c r="K782" s="98" t="str">
        <f t="shared" si="23"/>
        <v>Posgrado</v>
      </c>
      <c r="L782" s="98" t="s">
        <v>394</v>
      </c>
    </row>
    <row r="783" spans="3:12" ht="15.75" thickBot="1" x14ac:dyDescent="0.3">
      <c r="C783" s="137" t="s">
        <v>493</v>
      </c>
      <c r="D783" s="199"/>
      <c r="E783" s="152">
        <v>12</v>
      </c>
      <c r="F783" s="303">
        <f>HLOOKUP($C783,$BZ$2:$CM$3,2,0)</f>
        <v>463.22</v>
      </c>
      <c r="G783" s="113">
        <f>D783*E783*F783</f>
        <v>0</v>
      </c>
      <c r="H783" s="166"/>
      <c r="I783" s="114" t="s">
        <v>495</v>
      </c>
      <c r="J783" s="114" t="str">
        <f>VLOOKUP(I783,Presupuesto!$B$11:$C$565,2,0)</f>
        <v>SUELDOS Y SALARIOS PERMANENTES</v>
      </c>
      <c r="K783" s="98" t="str">
        <f t="shared" si="23"/>
        <v>Posgrado</v>
      </c>
      <c r="L783" s="98" t="s">
        <v>394</v>
      </c>
    </row>
    <row r="784" spans="3:12" x14ac:dyDescent="0.25">
      <c r="C784" s="171" t="s">
        <v>58</v>
      </c>
      <c r="D784" s="163"/>
      <c r="E784" s="154">
        <v>0</v>
      </c>
      <c r="F784" s="100">
        <f>IF(E783=0,"",(G783/E783)/12*E783)</f>
        <v>0</v>
      </c>
      <c r="G784" s="97">
        <f>F784</f>
        <v>0</v>
      </c>
      <c r="H784" s="164"/>
      <c r="I784" s="116" t="s">
        <v>515</v>
      </c>
      <c r="J784" s="116" t="str">
        <f>VLOOKUP(I784,Presupuesto!$B$11:$C$565,2,0)</f>
        <v>AGUINALDO Y DECIMO CUARTO MES</v>
      </c>
      <c r="K784" s="98" t="str">
        <f t="shared" si="23"/>
        <v>Posgrado</v>
      </c>
      <c r="L784" s="98" t="s">
        <v>394</v>
      </c>
    </row>
    <row r="785" spans="3:12" ht="15.75" thickBot="1" x14ac:dyDescent="0.3">
      <c r="C785" s="172" t="s">
        <v>59</v>
      </c>
      <c r="D785" s="163"/>
      <c r="E785" s="154">
        <v>0</v>
      </c>
      <c r="F785" s="117">
        <f>IF(E783&lt;6,"",((E783-6)/12)*(G783/E783))</f>
        <v>0</v>
      </c>
      <c r="G785" s="97">
        <f>F785</f>
        <v>0</v>
      </c>
      <c r="H785" s="164"/>
      <c r="I785" s="101" t="s">
        <v>518</v>
      </c>
      <c r="J785" s="101" t="str">
        <f>VLOOKUP(I785,Presupuesto!$B$11:$C$565,2,0)</f>
        <v>DECIMOCUARTO MES</v>
      </c>
      <c r="K785" s="98" t="str">
        <f t="shared" si="23"/>
        <v>Posgrado</v>
      </c>
      <c r="L785" s="98" t="s">
        <v>394</v>
      </c>
    </row>
    <row r="786" spans="3:12" ht="15.75" thickBot="1" x14ac:dyDescent="0.3">
      <c r="C786" s="137" t="s">
        <v>494</v>
      </c>
      <c r="D786" s="199"/>
      <c r="E786" s="152">
        <v>12</v>
      </c>
      <c r="F786" s="303">
        <f>HLOOKUP($C786,$BZ$2:$CM$3,2,0)</f>
        <v>2007.3</v>
      </c>
      <c r="G786" s="113">
        <f>D786*E786*F786</f>
        <v>0</v>
      </c>
      <c r="H786" s="166"/>
      <c r="I786" s="114" t="s">
        <v>495</v>
      </c>
      <c r="J786" s="114" t="str">
        <f>VLOOKUP(I786,Presupuesto!$B$11:$C$565,2,0)</f>
        <v>SUELDOS Y SALARIOS PERMANENTES</v>
      </c>
      <c r="K786" s="98" t="str">
        <f t="shared" si="23"/>
        <v>Posgrado</v>
      </c>
      <c r="L786" s="98" t="s">
        <v>394</v>
      </c>
    </row>
    <row r="787" spans="3:12" x14ac:dyDescent="0.25">
      <c r="C787" s="171" t="s">
        <v>58</v>
      </c>
      <c r="D787" s="163"/>
      <c r="E787" s="154">
        <v>0</v>
      </c>
      <c r="F787" s="100">
        <f>IF(E786=0,"",(G786/E786)/12*E786)</f>
        <v>0</v>
      </c>
      <c r="G787" s="97">
        <f>F787</f>
        <v>0</v>
      </c>
      <c r="H787" s="164"/>
      <c r="I787" s="116" t="s">
        <v>515</v>
      </c>
      <c r="J787" s="116" t="str">
        <f>VLOOKUP(I787,Presupuesto!$B$11:$C$565,2,0)</f>
        <v>AGUINALDO Y DECIMO CUARTO MES</v>
      </c>
      <c r="K787" s="98" t="str">
        <f t="shared" si="23"/>
        <v>Posgrado</v>
      </c>
      <c r="L787" s="98" t="s">
        <v>394</v>
      </c>
    </row>
    <row r="788" spans="3:12" ht="15.75" thickBot="1" x14ac:dyDescent="0.3">
      <c r="C788" s="172" t="s">
        <v>59</v>
      </c>
      <c r="D788" s="163"/>
      <c r="E788" s="154">
        <v>0</v>
      </c>
      <c r="F788" s="117">
        <f>IF(E786&lt;6,"",((E786-6)/12)*(G786/E786))</f>
        <v>0</v>
      </c>
      <c r="G788" s="97">
        <f>F788</f>
        <v>0</v>
      </c>
      <c r="H788" s="164"/>
      <c r="I788" s="101" t="s">
        <v>518</v>
      </c>
      <c r="J788" s="101" t="str">
        <f>VLOOKUP(I788,Presupuesto!$B$11:$C$565,2,0)</f>
        <v>DECIMOCUARTO MES</v>
      </c>
      <c r="K788" s="98" t="str">
        <f t="shared" si="23"/>
        <v>Posgrado</v>
      </c>
      <c r="L788" s="98" t="s">
        <v>394</v>
      </c>
    </row>
    <row r="789" spans="3:12" ht="15.75" thickBot="1" x14ac:dyDescent="0.3">
      <c r="C789" s="140" t="s">
        <v>83</v>
      </c>
      <c r="D789" s="199"/>
      <c r="E789" s="152">
        <v>12</v>
      </c>
      <c r="F789" s="139">
        <v>30000</v>
      </c>
      <c r="G789" s="113">
        <f>D789*E789*F789</f>
        <v>0</v>
      </c>
      <c r="H789" s="166"/>
      <c r="I789" s="114" t="s">
        <v>563</v>
      </c>
      <c r="J789" s="114" t="str">
        <f>VLOOKUP(I789,Presupuesto!$B$11:$C$565,2,0)</f>
        <v>CONTRATOS ESPECIALES</v>
      </c>
      <c r="K789" s="98" t="str">
        <f t="shared" si="23"/>
        <v>Posgrado</v>
      </c>
      <c r="L789" s="98" t="s">
        <v>394</v>
      </c>
    </row>
    <row r="790" spans="3:12" x14ac:dyDescent="0.25">
      <c r="C790" s="171" t="s">
        <v>58</v>
      </c>
      <c r="D790" s="163"/>
      <c r="E790" s="154">
        <v>0</v>
      </c>
      <c r="F790" s="117">
        <f>IF(E789=0,"",(G789/E789)/12*E789)</f>
        <v>0</v>
      </c>
      <c r="G790" s="97">
        <f>F790</f>
        <v>0</v>
      </c>
      <c r="H790" s="164"/>
      <c r="I790" s="101" t="s">
        <v>563</v>
      </c>
      <c r="J790" s="101" t="str">
        <f>VLOOKUP(I790,Presupuesto!$B$11:$C$565,2,0)</f>
        <v>CONTRATOS ESPECIALES</v>
      </c>
      <c r="K790" s="98" t="str">
        <f t="shared" si="23"/>
        <v>Posgrado</v>
      </c>
      <c r="L790" s="98" t="s">
        <v>393</v>
      </c>
    </row>
    <row r="791" spans="3:12" ht="15.75" thickBot="1" x14ac:dyDescent="0.3">
      <c r="C791" s="172" t="s">
        <v>59</v>
      </c>
      <c r="D791" s="163"/>
      <c r="E791" s="154">
        <v>0</v>
      </c>
      <c r="F791" s="100">
        <f>IF(E789&lt;6,"",((E789-6)/12)*(G789/E789))</f>
        <v>0</v>
      </c>
      <c r="G791" s="97">
        <f>F791</f>
        <v>0</v>
      </c>
      <c r="H791" s="164"/>
      <c r="I791" s="101" t="s">
        <v>563</v>
      </c>
      <c r="J791" s="101" t="str">
        <f>VLOOKUP(I791,Presupuesto!$B$11:$C$565,2,0)</f>
        <v>CONTRATOS ESPECIALES</v>
      </c>
      <c r="K791" s="98" t="str">
        <f t="shared" si="23"/>
        <v>Posgrado</v>
      </c>
      <c r="L791" s="98" t="s">
        <v>398</v>
      </c>
    </row>
    <row r="792" spans="3:12" ht="15.75" thickBot="1" x14ac:dyDescent="0.3">
      <c r="C792" s="140" t="s">
        <v>60</v>
      </c>
      <c r="D792" s="199"/>
      <c r="E792" s="152">
        <v>12</v>
      </c>
      <c r="F792" s="118">
        <v>30000</v>
      </c>
      <c r="G792" s="113">
        <f>D792*E792*F792</f>
        <v>0</v>
      </c>
      <c r="H792" s="166"/>
      <c r="I792" s="114" t="s">
        <v>704</v>
      </c>
      <c r="J792" s="114" t="str">
        <f>VLOOKUP(I792,Presupuesto!$B$11:$C$565,2,0)</f>
        <v>OTROS SERVICIOS TECNICOS Y PROFESIONALES</v>
      </c>
      <c r="K792" s="98" t="str">
        <f t="shared" si="23"/>
        <v>Posgrado</v>
      </c>
      <c r="L792" s="98" t="s">
        <v>393</v>
      </c>
    </row>
    <row r="793" spans="3:12" x14ac:dyDescent="0.25">
      <c r="C793" s="171" t="s">
        <v>58</v>
      </c>
      <c r="D793" s="163"/>
      <c r="E793" s="154">
        <v>0</v>
      </c>
      <c r="F793" s="100">
        <v>0</v>
      </c>
      <c r="G793" s="97">
        <f>F793</f>
        <v>0</v>
      </c>
      <c r="H793" s="164"/>
      <c r="I793" s="101" t="s">
        <v>704</v>
      </c>
      <c r="J793" s="101" t="str">
        <f>VLOOKUP(I793,Presupuesto!$B$11:$C$565,2,0)</f>
        <v>OTROS SERVICIOS TECNICOS Y PROFESIONALES</v>
      </c>
      <c r="K793" s="98" t="str">
        <f t="shared" si="23"/>
        <v>Posgrado</v>
      </c>
      <c r="L793" s="98" t="s">
        <v>393</v>
      </c>
    </row>
    <row r="794" spans="3:12" ht="15.75" thickBot="1" x14ac:dyDescent="0.3">
      <c r="C794" s="172" t="s">
        <v>59</v>
      </c>
      <c r="D794" s="163"/>
      <c r="E794" s="154">
        <v>0</v>
      </c>
      <c r="F794" s="100">
        <v>0</v>
      </c>
      <c r="G794" s="97">
        <f>F794</f>
        <v>0</v>
      </c>
      <c r="H794" s="164"/>
      <c r="I794" s="101" t="s">
        <v>704</v>
      </c>
      <c r="J794" s="101" t="str">
        <f>VLOOKUP(I794,Presupuesto!$B$11:$C$565,2,0)</f>
        <v>OTROS SERVICIOS TECNICOS Y PROFESIONALES</v>
      </c>
      <c r="K794" s="98" t="str">
        <f t="shared" si="23"/>
        <v>Posgrado</v>
      </c>
      <c r="L794" s="98" t="s">
        <v>393</v>
      </c>
    </row>
    <row r="795" spans="3:12" ht="15.75" thickBot="1" x14ac:dyDescent="0.3">
      <c r="C795" s="140" t="s">
        <v>61</v>
      </c>
      <c r="D795" s="199"/>
      <c r="E795" s="152">
        <v>12</v>
      </c>
      <c r="F795" s="118">
        <v>30000</v>
      </c>
      <c r="G795" s="113">
        <f>D795*E795*F795</f>
        <v>0</v>
      </c>
      <c r="H795" s="166"/>
      <c r="I795" s="114" t="s">
        <v>495</v>
      </c>
      <c r="J795" s="114" t="str">
        <f>VLOOKUP(I795,Presupuesto!$B$11:$C$565,2,0)</f>
        <v>SUELDOS Y SALARIOS PERMANENTES</v>
      </c>
      <c r="K795" s="98" t="str">
        <f t="shared" si="23"/>
        <v>Posgrado</v>
      </c>
      <c r="L795" s="98" t="s">
        <v>393</v>
      </c>
    </row>
    <row r="796" spans="3:12" x14ac:dyDescent="0.25">
      <c r="C796" s="171" t="s">
        <v>58</v>
      </c>
      <c r="D796" s="169"/>
      <c r="E796" s="131">
        <v>0</v>
      </c>
      <c r="F796" s="119">
        <f>IF(E795=0,"",(G795/E795)/12*E795)</f>
        <v>0</v>
      </c>
      <c r="G796" s="120">
        <f>F796</f>
        <v>0</v>
      </c>
      <c r="H796" s="164"/>
      <c r="I796" s="101" t="s">
        <v>515</v>
      </c>
      <c r="J796" s="101" t="str">
        <f>VLOOKUP(I796,Presupuesto!$B$11:$C$565,2,0)</f>
        <v>AGUINALDO Y DECIMO CUARTO MES</v>
      </c>
      <c r="K796" s="98" t="str">
        <f t="shared" si="23"/>
        <v>Posgrado</v>
      </c>
      <c r="L796" s="98" t="s">
        <v>393</v>
      </c>
    </row>
    <row r="797" spans="3:12" ht="15.75" thickBot="1" x14ac:dyDescent="0.3">
      <c r="C797" s="173" t="s">
        <v>59</v>
      </c>
      <c r="D797" s="162"/>
      <c r="E797" s="132">
        <v>0</v>
      </c>
      <c r="F797" s="105">
        <f>IF(E795&lt;6,"",((E795-6)/12)*(G795/E795))</f>
        <v>0</v>
      </c>
      <c r="G797" s="105">
        <f>F797</f>
        <v>0</v>
      </c>
      <c r="H797" s="162"/>
      <c r="I797" s="106" t="s">
        <v>518</v>
      </c>
      <c r="J797" s="124" t="str">
        <f>VLOOKUP(I797,Presupuesto!$B$11:$C$565,2,0)</f>
        <v>DECIMOCUARTO MES</v>
      </c>
      <c r="K797" s="106" t="str">
        <f t="shared" si="23"/>
        <v>Posgrado</v>
      </c>
      <c r="L797" s="124" t="s">
        <v>393</v>
      </c>
    </row>
    <row r="799" spans="3:12" ht="15.75" thickBot="1" x14ac:dyDescent="0.3"/>
    <row r="800" spans="3:12" ht="15.75" thickBot="1" x14ac:dyDescent="0.3">
      <c r="C800" s="69" t="s">
        <v>43</v>
      </c>
      <c r="D800" s="30">
        <f>SUM(G807:G857)</f>
        <v>0</v>
      </c>
      <c r="E800" s="93"/>
      <c r="F800" s="93"/>
      <c r="G800" s="93"/>
      <c r="H800" s="76"/>
      <c r="I800" s="76"/>
      <c r="J800" s="76"/>
    </row>
    <row r="801" spans="3:12" x14ac:dyDescent="0.25">
      <c r="D801" s="31"/>
      <c r="E801" s="93"/>
      <c r="F801" s="93"/>
      <c r="G801" s="93"/>
      <c r="H801" s="76"/>
      <c r="I801" s="76"/>
      <c r="J801" s="76"/>
    </row>
    <row r="802" spans="3:12" x14ac:dyDescent="0.25">
      <c r="D802" s="31"/>
      <c r="E802" s="93"/>
      <c r="F802" s="93"/>
      <c r="G802" s="93"/>
      <c r="H802" s="76"/>
      <c r="I802" s="76"/>
      <c r="J802" s="76"/>
    </row>
    <row r="803" spans="3:12" ht="15.75" x14ac:dyDescent="0.25">
      <c r="C803" s="202" t="s">
        <v>391</v>
      </c>
      <c r="D803" s="368"/>
      <c r="E803" s="93"/>
      <c r="F803" s="93"/>
      <c r="G803" s="93"/>
      <c r="H803" s="76"/>
      <c r="I803" s="76"/>
      <c r="J803" s="76"/>
    </row>
    <row r="804" spans="3:12" ht="18.75" x14ac:dyDescent="0.25">
      <c r="C804" s="210" t="e">
        <f>IFERROR(VLOOKUP(D803,'1. Desarrollo e Innov. Curricu.'!$F:$G,2,FALSE),IFERROR(VLOOKUP(D803,'2. Investigación Científica'!$F:$G,2,FALSE),IFERROR(VLOOKUP(D803,'3. Vinculación Univ. Sociedad'!$F:$G,2,FALSE),IFERROR(VLOOKUP(D803,'4. Docencia y Profesorado Univ.'!$F:$G,2,FALSE),IFERROR(VLOOKUP(D803,'5. Estudiantes y Graduados'!$F:$G,2,FALSE),IFERROR(VLOOKUP(D803,'11. Gestion Administrativa'!$F:$G,2,FALSE),IFERROR(VLOOKUP(D803,'13. Gestión Académica'!$F:$G,2,FALSE),IFERROR(VLOOKUP(D803,'9. Asegura. de la Calid. y M'!$F:$G,2,FALSE),IFERROR(VLOOKUP(D803,'6. Gestión del Conocimiento'!$F:$G,2,FALSE),IFERROR(VLOOKUP(D803,'15. Gobernabilidad y Proceso...'!$F:$G,2,FALSE),IFERROR(VLOOKUP(D803,'12. Gestión del Talento Humano'!$F:$G,2,FALSE),IFERROR(VLOOKUP(D803,'14. Internacional... de la E.S.'!$F:$G,2,FALSE),IFERROR(VLOOKUP(D803,'10. Posgrado'!$F:$G,2,FALSE),IFERROR(VLOOKUP(D803,'17. Gestión TIC'!$F:$G,2,FALSE),IFERROR(VLOOKUP(D803,'16. Desa. del Sistema Educ.Sup.'!$F:$G,2,FALSE),IFERROR(VLOOKUP(D803,'8. Cultura de Inno. Insti...'!$F:$G,2,FALSE),VLOOKUP(D803,'7. Lo Esencial de la Reforma U.'!$F:$G,2,0)))))))))))))))))</f>
        <v>#N/A</v>
      </c>
      <c r="D804" s="31"/>
      <c r="E804" s="93"/>
      <c r="F804" s="93"/>
      <c r="G804" s="93"/>
      <c r="H804" s="76"/>
      <c r="I804" s="76"/>
      <c r="J804" s="76"/>
      <c r="K804" s="153"/>
    </row>
    <row r="805" spans="3:12" ht="15.75" thickBot="1" x14ac:dyDescent="0.3">
      <c r="C805" s="177"/>
      <c r="D805" s="31"/>
      <c r="E805" s="93"/>
      <c r="F805" s="93"/>
      <c r="G805" s="93"/>
      <c r="H805" s="76"/>
      <c r="I805" s="76"/>
      <c r="J805" s="76"/>
      <c r="K805" s="153"/>
    </row>
    <row r="806" spans="3:12" ht="30.75" thickBot="1" x14ac:dyDescent="0.3">
      <c r="C806" s="134" t="s">
        <v>44</v>
      </c>
      <c r="D806" s="138" t="s">
        <v>55</v>
      </c>
      <c r="E806" s="170" t="s">
        <v>56</v>
      </c>
      <c r="F806" s="138" t="s">
        <v>57</v>
      </c>
      <c r="G806" s="135" t="s">
        <v>27</v>
      </c>
      <c r="H806" s="133" t="s">
        <v>130</v>
      </c>
      <c r="I806" s="136" t="s">
        <v>46</v>
      </c>
      <c r="J806" s="136" t="s">
        <v>131</v>
      </c>
      <c r="K806" s="136" t="s">
        <v>409</v>
      </c>
      <c r="L806" s="136" t="s">
        <v>410</v>
      </c>
    </row>
    <row r="807" spans="3:12" ht="15.75" thickBot="1" x14ac:dyDescent="0.3">
      <c r="C807" s="137" t="s">
        <v>481</v>
      </c>
      <c r="D807" s="199"/>
      <c r="E807" s="152">
        <v>12</v>
      </c>
      <c r="F807" s="303">
        <f>HLOOKUP($C807,$BZ$2:$CM$3,2,0)</f>
        <v>43674.39</v>
      </c>
      <c r="G807" s="113">
        <f>D807*E807*F807</f>
        <v>0</v>
      </c>
      <c r="H807" s="166"/>
      <c r="I807" s="114" t="s">
        <v>495</v>
      </c>
      <c r="J807" s="114" t="str">
        <f>VLOOKUP(I807,Presupuesto!$B$11:$C$565,2,0)</f>
        <v>SUELDOS Y SALARIOS PERMANENTES</v>
      </c>
      <c r="K807" s="218" t="s">
        <v>1449</v>
      </c>
      <c r="L807" s="98" t="s">
        <v>393</v>
      </c>
    </row>
    <row r="808" spans="3:12" x14ac:dyDescent="0.25">
      <c r="C808" s="171" t="s">
        <v>58</v>
      </c>
      <c r="D808" s="163"/>
      <c r="E808" s="154">
        <v>0</v>
      </c>
      <c r="F808" s="100">
        <f>IF(E807=0,"",(G807/E807)/12*E807)</f>
        <v>0</v>
      </c>
      <c r="G808" s="97">
        <f>F808</f>
        <v>0</v>
      </c>
      <c r="H808" s="164"/>
      <c r="I808" s="116" t="s">
        <v>515</v>
      </c>
      <c r="J808" s="116" t="str">
        <f>VLOOKUP(I808,Presupuesto!$B$11:$C$565,2,0)</f>
        <v>AGUINALDO Y DECIMO CUARTO MES</v>
      </c>
      <c r="K808" s="98" t="str">
        <f t="shared" ref="K808:K839" si="24">$K$807</f>
        <v>Posgrado</v>
      </c>
      <c r="L808" s="98" t="s">
        <v>411</v>
      </c>
    </row>
    <row r="809" spans="3:12" ht="15.75" thickBot="1" x14ac:dyDescent="0.3">
      <c r="C809" s="172" t="s">
        <v>59</v>
      </c>
      <c r="D809" s="163"/>
      <c r="E809" s="154">
        <v>0</v>
      </c>
      <c r="F809" s="117">
        <f>IF(E807&lt;6,"",((E807-6)/12)*(G807/E807))</f>
        <v>0</v>
      </c>
      <c r="G809" s="97">
        <f>F809</f>
        <v>0</v>
      </c>
      <c r="H809" s="164"/>
      <c r="I809" s="101" t="s">
        <v>518</v>
      </c>
      <c r="J809" s="101" t="str">
        <f>VLOOKUP(I809,Presupuesto!$B$11:$C$565,2,0)</f>
        <v>DECIMOCUARTO MES</v>
      </c>
      <c r="K809" s="98" t="str">
        <f t="shared" si="24"/>
        <v>Posgrado</v>
      </c>
      <c r="L809" s="98" t="s">
        <v>394</v>
      </c>
    </row>
    <row r="810" spans="3:12" ht="15.75" thickBot="1" x14ac:dyDescent="0.3">
      <c r="C810" s="137" t="s">
        <v>482</v>
      </c>
      <c r="D810" s="199"/>
      <c r="E810" s="152">
        <v>12</v>
      </c>
      <c r="F810" s="303">
        <f>HLOOKUP($C810,$BZ$2:$CM$3,2,0)</f>
        <v>39703.99</v>
      </c>
      <c r="G810" s="113">
        <f>D810*E810*F810</f>
        <v>0</v>
      </c>
      <c r="H810" s="166"/>
      <c r="I810" s="114" t="s">
        <v>495</v>
      </c>
      <c r="J810" s="114" t="str">
        <f>VLOOKUP(I810,Presupuesto!$B$11:$C$565,2,0)</f>
        <v>SUELDOS Y SALARIOS PERMANENTES</v>
      </c>
      <c r="K810" s="98" t="str">
        <f t="shared" si="24"/>
        <v>Posgrado</v>
      </c>
      <c r="L810" s="98" t="s">
        <v>394</v>
      </c>
    </row>
    <row r="811" spans="3:12" x14ac:dyDescent="0.25">
      <c r="C811" s="171" t="s">
        <v>58</v>
      </c>
      <c r="D811" s="163"/>
      <c r="E811" s="154">
        <v>0</v>
      </c>
      <c r="F811" s="100">
        <f>IF(E810=0,"",(G810/E810)/12*E810)</f>
        <v>0</v>
      </c>
      <c r="G811" s="97">
        <f>F811</f>
        <v>0</v>
      </c>
      <c r="H811" s="164"/>
      <c r="I811" s="116" t="s">
        <v>515</v>
      </c>
      <c r="J811" s="116" t="str">
        <f>VLOOKUP(I811,Presupuesto!$B$11:$C$565,2,0)</f>
        <v>AGUINALDO Y DECIMO CUARTO MES</v>
      </c>
      <c r="K811" s="98" t="str">
        <f t="shared" si="24"/>
        <v>Posgrado</v>
      </c>
      <c r="L811" s="98" t="s">
        <v>394</v>
      </c>
    </row>
    <row r="812" spans="3:12" ht="15.75" thickBot="1" x14ac:dyDescent="0.3">
      <c r="C812" s="172" t="s">
        <v>59</v>
      </c>
      <c r="D812" s="163"/>
      <c r="E812" s="154">
        <v>0</v>
      </c>
      <c r="F812" s="117">
        <f>IF(E810&lt;6,"",((E810-6)/12)*(G810/E810))</f>
        <v>0</v>
      </c>
      <c r="G812" s="97">
        <f>F812</f>
        <v>0</v>
      </c>
      <c r="H812" s="164"/>
      <c r="I812" s="101" t="s">
        <v>518</v>
      </c>
      <c r="J812" s="101" t="str">
        <f>VLOOKUP(I812,Presupuesto!$B$11:$C$565,2,0)</f>
        <v>DECIMOCUARTO MES</v>
      </c>
      <c r="K812" s="98" t="str">
        <f t="shared" si="24"/>
        <v>Posgrado</v>
      </c>
      <c r="L812" s="98" t="s">
        <v>394</v>
      </c>
    </row>
    <row r="813" spans="3:12" ht="15.75" thickBot="1" x14ac:dyDescent="0.3">
      <c r="C813" s="137" t="s">
        <v>483</v>
      </c>
      <c r="D813" s="199"/>
      <c r="E813" s="152">
        <v>12</v>
      </c>
      <c r="F813" s="303">
        <f>HLOOKUP($C813,$BZ$2:$CM$3,2,0)</f>
        <v>35733.589999999997</v>
      </c>
      <c r="G813" s="113">
        <f>D813*E813*F813</f>
        <v>0</v>
      </c>
      <c r="H813" s="166"/>
      <c r="I813" s="114" t="s">
        <v>495</v>
      </c>
      <c r="J813" s="114" t="str">
        <f>VLOOKUP(I813,Presupuesto!$B$11:$C$565,2,0)</f>
        <v>SUELDOS Y SALARIOS PERMANENTES</v>
      </c>
      <c r="K813" s="98" t="str">
        <f t="shared" si="24"/>
        <v>Posgrado</v>
      </c>
      <c r="L813" s="98" t="s">
        <v>394</v>
      </c>
    </row>
    <row r="814" spans="3:12" x14ac:dyDescent="0.25">
      <c r="C814" s="171" t="s">
        <v>58</v>
      </c>
      <c r="D814" s="163"/>
      <c r="E814" s="154">
        <v>0</v>
      </c>
      <c r="F814" s="100">
        <f>IF(E813=0,"",(G813/E813)/12*E813)</f>
        <v>0</v>
      </c>
      <c r="G814" s="97">
        <f>F814</f>
        <v>0</v>
      </c>
      <c r="H814" s="164"/>
      <c r="I814" s="116" t="s">
        <v>515</v>
      </c>
      <c r="J814" s="116" t="str">
        <f>VLOOKUP(I814,Presupuesto!$B$11:$C$565,2,0)</f>
        <v>AGUINALDO Y DECIMO CUARTO MES</v>
      </c>
      <c r="K814" s="98" t="str">
        <f t="shared" si="24"/>
        <v>Posgrado</v>
      </c>
      <c r="L814" s="98" t="s">
        <v>394</v>
      </c>
    </row>
    <row r="815" spans="3:12" ht="15.75" thickBot="1" x14ac:dyDescent="0.3">
      <c r="C815" s="172" t="s">
        <v>59</v>
      </c>
      <c r="D815" s="163"/>
      <c r="E815" s="154">
        <v>0</v>
      </c>
      <c r="F815" s="117">
        <f>IF(E813&lt;6,"",((E813-6)/12)*(G813/E813))</f>
        <v>0</v>
      </c>
      <c r="G815" s="97">
        <f>F815</f>
        <v>0</v>
      </c>
      <c r="H815" s="164"/>
      <c r="I815" s="101" t="s">
        <v>518</v>
      </c>
      <c r="J815" s="101" t="str">
        <f>VLOOKUP(I815,Presupuesto!$B$11:$C$565,2,0)</f>
        <v>DECIMOCUARTO MES</v>
      </c>
      <c r="K815" s="98" t="str">
        <f t="shared" si="24"/>
        <v>Posgrado</v>
      </c>
      <c r="L815" s="98" t="s">
        <v>394</v>
      </c>
    </row>
    <row r="816" spans="3:12" ht="15.75" thickBot="1" x14ac:dyDescent="0.3">
      <c r="C816" s="137" t="s">
        <v>484</v>
      </c>
      <c r="D816" s="199"/>
      <c r="E816" s="152">
        <v>12</v>
      </c>
      <c r="F816" s="303">
        <f>HLOOKUP($C816,$BZ$2:$CM$3,2,0)</f>
        <v>31763.19</v>
      </c>
      <c r="G816" s="113">
        <f>D816*E816*F816</f>
        <v>0</v>
      </c>
      <c r="H816" s="166"/>
      <c r="I816" s="114" t="s">
        <v>495</v>
      </c>
      <c r="J816" s="114" t="str">
        <f>VLOOKUP(I816,Presupuesto!$B$11:$C$565,2,0)</f>
        <v>SUELDOS Y SALARIOS PERMANENTES</v>
      </c>
      <c r="K816" s="98" t="str">
        <f t="shared" si="24"/>
        <v>Posgrado</v>
      </c>
      <c r="L816" s="98" t="s">
        <v>394</v>
      </c>
    </row>
    <row r="817" spans="3:12" x14ac:dyDescent="0.25">
      <c r="C817" s="171" t="s">
        <v>58</v>
      </c>
      <c r="D817" s="163"/>
      <c r="E817" s="154">
        <v>0</v>
      </c>
      <c r="F817" s="100">
        <f>IF(E816=0,"",(G816/E816)/12*E816)</f>
        <v>0</v>
      </c>
      <c r="G817" s="97">
        <f>F817</f>
        <v>0</v>
      </c>
      <c r="H817" s="164"/>
      <c r="I817" s="116" t="s">
        <v>515</v>
      </c>
      <c r="J817" s="116" t="str">
        <f>VLOOKUP(I817,Presupuesto!$B$11:$C$565,2,0)</f>
        <v>AGUINALDO Y DECIMO CUARTO MES</v>
      </c>
      <c r="K817" s="98" t="str">
        <f t="shared" si="24"/>
        <v>Posgrado</v>
      </c>
      <c r="L817" s="98" t="s">
        <v>394</v>
      </c>
    </row>
    <row r="818" spans="3:12" ht="15.75" thickBot="1" x14ac:dyDescent="0.3">
      <c r="C818" s="172" t="s">
        <v>59</v>
      </c>
      <c r="D818" s="163"/>
      <c r="E818" s="154">
        <v>0</v>
      </c>
      <c r="F818" s="117">
        <f>IF(E816&lt;6,"",((E816-6)/12)*(G816/E816))</f>
        <v>0</v>
      </c>
      <c r="G818" s="97">
        <f>F818</f>
        <v>0</v>
      </c>
      <c r="H818" s="164"/>
      <c r="I818" s="101" t="s">
        <v>518</v>
      </c>
      <c r="J818" s="101" t="str">
        <f>VLOOKUP(I818,Presupuesto!$B$11:$C$565,2,0)</f>
        <v>DECIMOCUARTO MES</v>
      </c>
      <c r="K818" s="98" t="str">
        <f t="shared" si="24"/>
        <v>Posgrado</v>
      </c>
      <c r="L818" s="98" t="s">
        <v>394</v>
      </c>
    </row>
    <row r="819" spans="3:12" ht="15.75" thickBot="1" x14ac:dyDescent="0.3">
      <c r="C819" s="137" t="s">
        <v>485</v>
      </c>
      <c r="D819" s="199"/>
      <c r="E819" s="152">
        <v>12</v>
      </c>
      <c r="F819" s="303">
        <f>HLOOKUP($C819,$BZ$2:$CM$3,2,0)</f>
        <v>29777.99</v>
      </c>
      <c r="G819" s="113">
        <f>D819*E819*F819</f>
        <v>0</v>
      </c>
      <c r="H819" s="166"/>
      <c r="I819" s="114" t="s">
        <v>495</v>
      </c>
      <c r="J819" s="114" t="str">
        <f>VLOOKUP(I819,Presupuesto!$B$11:$C$565,2,0)</f>
        <v>SUELDOS Y SALARIOS PERMANENTES</v>
      </c>
      <c r="K819" s="98" t="str">
        <f t="shared" si="24"/>
        <v>Posgrado</v>
      </c>
      <c r="L819" s="98" t="s">
        <v>394</v>
      </c>
    </row>
    <row r="820" spans="3:12" x14ac:dyDescent="0.25">
      <c r="C820" s="171" t="s">
        <v>58</v>
      </c>
      <c r="D820" s="163"/>
      <c r="E820" s="154">
        <v>0</v>
      </c>
      <c r="F820" s="100">
        <f>IF(E819=0,"",(G819/E819)/12*E819)</f>
        <v>0</v>
      </c>
      <c r="G820" s="97">
        <f>F820</f>
        <v>0</v>
      </c>
      <c r="H820" s="164"/>
      <c r="I820" s="116" t="s">
        <v>515</v>
      </c>
      <c r="J820" s="116" t="str">
        <f>VLOOKUP(I820,Presupuesto!$B$11:$C$565,2,0)</f>
        <v>AGUINALDO Y DECIMO CUARTO MES</v>
      </c>
      <c r="K820" s="98" t="str">
        <f t="shared" si="24"/>
        <v>Posgrado</v>
      </c>
      <c r="L820" s="98" t="s">
        <v>394</v>
      </c>
    </row>
    <row r="821" spans="3:12" ht="15.75" thickBot="1" x14ac:dyDescent="0.3">
      <c r="C821" s="172" t="s">
        <v>59</v>
      </c>
      <c r="D821" s="163"/>
      <c r="E821" s="154">
        <v>0</v>
      </c>
      <c r="F821" s="117">
        <f>IF(E819&lt;6,"",((E819-6)/12)*(G819/E819))</f>
        <v>0</v>
      </c>
      <c r="G821" s="97">
        <f>F821</f>
        <v>0</v>
      </c>
      <c r="H821" s="164"/>
      <c r="I821" s="101" t="s">
        <v>518</v>
      </c>
      <c r="J821" s="101" t="str">
        <f>VLOOKUP(I821,Presupuesto!$B$11:$C$565,2,0)</f>
        <v>DECIMOCUARTO MES</v>
      </c>
      <c r="K821" s="98" t="str">
        <f t="shared" si="24"/>
        <v>Posgrado</v>
      </c>
      <c r="L821" s="98" t="s">
        <v>394</v>
      </c>
    </row>
    <row r="822" spans="3:12" ht="15.75" thickBot="1" x14ac:dyDescent="0.3">
      <c r="C822" s="137" t="s">
        <v>486</v>
      </c>
      <c r="D822" s="199"/>
      <c r="E822" s="152">
        <v>12</v>
      </c>
      <c r="F822" s="303">
        <f>HLOOKUP($C822,$BZ$2:$CM$3,2,0)</f>
        <v>27792.79</v>
      </c>
      <c r="G822" s="113">
        <f>D822*E822*F822</f>
        <v>0</v>
      </c>
      <c r="H822" s="166"/>
      <c r="I822" s="114" t="s">
        <v>495</v>
      </c>
      <c r="J822" s="114" t="str">
        <f>VLOOKUP(I822,Presupuesto!$B$11:$C$565,2,0)</f>
        <v>SUELDOS Y SALARIOS PERMANENTES</v>
      </c>
      <c r="K822" s="98" t="str">
        <f t="shared" si="24"/>
        <v>Posgrado</v>
      </c>
      <c r="L822" s="98" t="s">
        <v>394</v>
      </c>
    </row>
    <row r="823" spans="3:12" x14ac:dyDescent="0.25">
      <c r="C823" s="171" t="s">
        <v>58</v>
      </c>
      <c r="D823" s="163"/>
      <c r="E823" s="154">
        <v>0</v>
      </c>
      <c r="F823" s="100">
        <f>IF(E822=0,"",(G822/E822)/12*E822)</f>
        <v>0</v>
      </c>
      <c r="G823" s="97">
        <f>F823</f>
        <v>0</v>
      </c>
      <c r="H823" s="164"/>
      <c r="I823" s="116" t="s">
        <v>515</v>
      </c>
      <c r="J823" s="116" t="str">
        <f>VLOOKUP(I823,Presupuesto!$B$11:$C$565,2,0)</f>
        <v>AGUINALDO Y DECIMO CUARTO MES</v>
      </c>
      <c r="K823" s="98" t="str">
        <f t="shared" si="24"/>
        <v>Posgrado</v>
      </c>
      <c r="L823" s="98" t="s">
        <v>394</v>
      </c>
    </row>
    <row r="824" spans="3:12" ht="15.75" thickBot="1" x14ac:dyDescent="0.3">
      <c r="C824" s="172" t="s">
        <v>59</v>
      </c>
      <c r="D824" s="163"/>
      <c r="E824" s="154">
        <v>0</v>
      </c>
      <c r="F824" s="117">
        <f>IF(E822&lt;6,"",((E822-6)/12)*(G822/E822))</f>
        <v>0</v>
      </c>
      <c r="G824" s="97">
        <f>F824</f>
        <v>0</v>
      </c>
      <c r="H824" s="164"/>
      <c r="I824" s="101" t="s">
        <v>518</v>
      </c>
      <c r="J824" s="101" t="str">
        <f>VLOOKUP(I824,Presupuesto!$B$11:$C$565,2,0)</f>
        <v>DECIMOCUARTO MES</v>
      </c>
      <c r="K824" s="98" t="str">
        <f t="shared" si="24"/>
        <v>Posgrado</v>
      </c>
      <c r="L824" s="98" t="s">
        <v>394</v>
      </c>
    </row>
    <row r="825" spans="3:12" ht="15.75" thickBot="1" x14ac:dyDescent="0.3">
      <c r="C825" s="137" t="s">
        <v>487</v>
      </c>
      <c r="D825" s="199"/>
      <c r="E825" s="152">
        <v>12</v>
      </c>
      <c r="F825" s="303">
        <f>HLOOKUP($C825,$BZ$2:$CM$3,2,0)</f>
        <v>18859.39</v>
      </c>
      <c r="G825" s="113">
        <f>D825*E825*F825</f>
        <v>0</v>
      </c>
      <c r="H825" s="166"/>
      <c r="I825" s="114" t="s">
        <v>495</v>
      </c>
      <c r="J825" s="114" t="str">
        <f>VLOOKUP(I825,Presupuesto!$B$11:$C$565,2,0)</f>
        <v>SUELDOS Y SALARIOS PERMANENTES</v>
      </c>
      <c r="K825" s="98" t="str">
        <f t="shared" si="24"/>
        <v>Posgrado</v>
      </c>
      <c r="L825" s="98" t="s">
        <v>394</v>
      </c>
    </row>
    <row r="826" spans="3:12" x14ac:dyDescent="0.25">
      <c r="C826" s="171" t="s">
        <v>58</v>
      </c>
      <c r="D826" s="163"/>
      <c r="E826" s="154">
        <v>0</v>
      </c>
      <c r="F826" s="100">
        <f>IF(E825=0,"",(G825/E825)/12*E825)</f>
        <v>0</v>
      </c>
      <c r="G826" s="97">
        <f>F826</f>
        <v>0</v>
      </c>
      <c r="H826" s="164"/>
      <c r="I826" s="116" t="s">
        <v>515</v>
      </c>
      <c r="J826" s="116" t="str">
        <f>VLOOKUP(I826,Presupuesto!$B$11:$C$565,2,0)</f>
        <v>AGUINALDO Y DECIMO CUARTO MES</v>
      </c>
      <c r="K826" s="98" t="str">
        <f t="shared" si="24"/>
        <v>Posgrado</v>
      </c>
      <c r="L826" s="98" t="s">
        <v>394</v>
      </c>
    </row>
    <row r="827" spans="3:12" ht="15.75" thickBot="1" x14ac:dyDescent="0.3">
      <c r="C827" s="172" t="s">
        <v>59</v>
      </c>
      <c r="D827" s="163"/>
      <c r="E827" s="154">
        <v>0</v>
      </c>
      <c r="F827" s="117">
        <f>IF(E825&lt;6,"",((E825-6)/12)*(G825/E825))</f>
        <v>0</v>
      </c>
      <c r="G827" s="97">
        <f>F827</f>
        <v>0</v>
      </c>
      <c r="H827" s="164"/>
      <c r="I827" s="101" t="s">
        <v>518</v>
      </c>
      <c r="J827" s="101" t="str">
        <f>VLOOKUP(I827,Presupuesto!$B$11:$C$565,2,0)</f>
        <v>DECIMOCUARTO MES</v>
      </c>
      <c r="K827" s="98" t="str">
        <f t="shared" si="24"/>
        <v>Posgrado</v>
      </c>
      <c r="L827" s="98" t="s">
        <v>394</v>
      </c>
    </row>
    <row r="828" spans="3:12" ht="15.75" thickBot="1" x14ac:dyDescent="0.3">
      <c r="C828" s="137" t="s">
        <v>488</v>
      </c>
      <c r="D828" s="199"/>
      <c r="E828" s="152">
        <v>12</v>
      </c>
      <c r="F828" s="303">
        <f>HLOOKUP($C828,$BZ$2:$CM$3,2,0)</f>
        <v>17866.8</v>
      </c>
      <c r="G828" s="113">
        <f>D828*E828*F828</f>
        <v>0</v>
      </c>
      <c r="H828" s="166"/>
      <c r="I828" s="114" t="s">
        <v>495</v>
      </c>
      <c r="J828" s="114" t="str">
        <f>VLOOKUP(I828,Presupuesto!$B$11:$C$565,2,0)</f>
        <v>SUELDOS Y SALARIOS PERMANENTES</v>
      </c>
      <c r="K828" s="98" t="str">
        <f t="shared" si="24"/>
        <v>Posgrado</v>
      </c>
      <c r="L828" s="98" t="s">
        <v>394</v>
      </c>
    </row>
    <row r="829" spans="3:12" x14ac:dyDescent="0.25">
      <c r="C829" s="171" t="s">
        <v>58</v>
      </c>
      <c r="D829" s="163"/>
      <c r="E829" s="154">
        <v>0</v>
      </c>
      <c r="F829" s="100">
        <f>IF(E828=0,"",(G828/E828)/12*E828)</f>
        <v>0</v>
      </c>
      <c r="G829" s="97">
        <f>F829</f>
        <v>0</v>
      </c>
      <c r="H829" s="164"/>
      <c r="I829" s="116" t="s">
        <v>515</v>
      </c>
      <c r="J829" s="116" t="str">
        <f>VLOOKUP(I829,Presupuesto!$B$11:$C$565,2,0)</f>
        <v>AGUINALDO Y DECIMO CUARTO MES</v>
      </c>
      <c r="K829" s="98" t="str">
        <f t="shared" si="24"/>
        <v>Posgrado</v>
      </c>
      <c r="L829" s="98" t="s">
        <v>394</v>
      </c>
    </row>
    <row r="830" spans="3:12" ht="15.75" thickBot="1" x14ac:dyDescent="0.3">
      <c r="C830" s="172" t="s">
        <v>59</v>
      </c>
      <c r="D830" s="163"/>
      <c r="E830" s="154">
        <v>0</v>
      </c>
      <c r="F830" s="117">
        <f>IF(E828&lt;6,"",((E828-6)/12)*(G828/E828))</f>
        <v>0</v>
      </c>
      <c r="G830" s="97">
        <f>F830</f>
        <v>0</v>
      </c>
      <c r="H830" s="164"/>
      <c r="I830" s="101" t="s">
        <v>518</v>
      </c>
      <c r="J830" s="101" t="str">
        <f>VLOOKUP(I830,Presupuesto!$B$11:$C$565,2,0)</f>
        <v>DECIMOCUARTO MES</v>
      </c>
      <c r="K830" s="98" t="str">
        <f t="shared" si="24"/>
        <v>Posgrado</v>
      </c>
      <c r="L830" s="98" t="s">
        <v>394</v>
      </c>
    </row>
    <row r="831" spans="3:12" ht="15.75" thickBot="1" x14ac:dyDescent="0.3">
      <c r="C831" s="137" t="s">
        <v>489</v>
      </c>
      <c r="D831" s="199"/>
      <c r="E831" s="152">
        <v>12</v>
      </c>
      <c r="F831" s="303">
        <f>HLOOKUP($C831,$BZ$2:$CM$3,2,0)</f>
        <v>13896.4</v>
      </c>
      <c r="G831" s="113">
        <f>D831*E831*F831</f>
        <v>0</v>
      </c>
      <c r="H831" s="166"/>
      <c r="I831" s="114" t="s">
        <v>495</v>
      </c>
      <c r="J831" s="114" t="str">
        <f>VLOOKUP(I831,Presupuesto!$B$11:$C$565,2,0)</f>
        <v>SUELDOS Y SALARIOS PERMANENTES</v>
      </c>
      <c r="K831" s="98" t="str">
        <f t="shared" si="24"/>
        <v>Posgrado</v>
      </c>
      <c r="L831" s="98" t="s">
        <v>394</v>
      </c>
    </row>
    <row r="832" spans="3:12" x14ac:dyDescent="0.25">
      <c r="C832" s="171" t="s">
        <v>58</v>
      </c>
      <c r="D832" s="163"/>
      <c r="E832" s="154">
        <v>0</v>
      </c>
      <c r="F832" s="100">
        <f>IF(E831=0,"",(G831/E831)/12*E831)</f>
        <v>0</v>
      </c>
      <c r="G832" s="97">
        <f>F832</f>
        <v>0</v>
      </c>
      <c r="H832" s="164"/>
      <c r="I832" s="116" t="s">
        <v>515</v>
      </c>
      <c r="J832" s="116" t="str">
        <f>VLOOKUP(I832,Presupuesto!$B$11:$C$565,2,0)</f>
        <v>AGUINALDO Y DECIMO CUARTO MES</v>
      </c>
      <c r="K832" s="98" t="str">
        <f t="shared" si="24"/>
        <v>Posgrado</v>
      </c>
      <c r="L832" s="98" t="s">
        <v>394</v>
      </c>
    </row>
    <row r="833" spans="3:12" ht="15.75" thickBot="1" x14ac:dyDescent="0.3">
      <c r="C833" s="172" t="s">
        <v>59</v>
      </c>
      <c r="D833" s="163"/>
      <c r="E833" s="154">
        <v>0</v>
      </c>
      <c r="F833" s="117">
        <f>IF(E831&lt;6,"",((E831-6)/12)*(G831/E831))</f>
        <v>0</v>
      </c>
      <c r="G833" s="97">
        <f>F833</f>
        <v>0</v>
      </c>
      <c r="H833" s="164"/>
      <c r="I833" s="101" t="s">
        <v>518</v>
      </c>
      <c r="J833" s="101" t="str">
        <f>VLOOKUP(I833,Presupuesto!$B$11:$C$565,2,0)</f>
        <v>DECIMOCUARTO MES</v>
      </c>
      <c r="K833" s="98" t="str">
        <f t="shared" si="24"/>
        <v>Posgrado</v>
      </c>
      <c r="L833" s="98" t="s">
        <v>394</v>
      </c>
    </row>
    <row r="834" spans="3:12" ht="15.75" thickBot="1" x14ac:dyDescent="0.3">
      <c r="C834" s="137" t="s">
        <v>490</v>
      </c>
      <c r="D834" s="199"/>
      <c r="E834" s="152">
        <v>12</v>
      </c>
      <c r="F834" s="303">
        <f>HLOOKUP($C834,$BZ$2:$CM$3,2,0)</f>
        <v>15004.09</v>
      </c>
      <c r="G834" s="113">
        <f>D834*E834*F834</f>
        <v>0</v>
      </c>
      <c r="H834" s="166"/>
      <c r="I834" s="114" t="s">
        <v>495</v>
      </c>
      <c r="J834" s="114" t="str">
        <f>VLOOKUP(I834,Presupuesto!$B$11:$C$565,2,0)</f>
        <v>SUELDOS Y SALARIOS PERMANENTES</v>
      </c>
      <c r="K834" s="98" t="str">
        <f t="shared" si="24"/>
        <v>Posgrado</v>
      </c>
      <c r="L834" s="98" t="s">
        <v>394</v>
      </c>
    </row>
    <row r="835" spans="3:12" x14ac:dyDescent="0.25">
      <c r="C835" s="171" t="s">
        <v>58</v>
      </c>
      <c r="D835" s="163"/>
      <c r="E835" s="154">
        <v>0</v>
      </c>
      <c r="F835" s="100">
        <f>IF(E834=0,"",(G834/E834)/12*E834)</f>
        <v>0</v>
      </c>
      <c r="G835" s="97">
        <f>F835</f>
        <v>0</v>
      </c>
      <c r="H835" s="164"/>
      <c r="I835" s="116" t="s">
        <v>515</v>
      </c>
      <c r="J835" s="116" t="str">
        <f>VLOOKUP(I835,Presupuesto!$B$11:$C$565,2,0)</f>
        <v>AGUINALDO Y DECIMO CUARTO MES</v>
      </c>
      <c r="K835" s="98" t="str">
        <f t="shared" si="24"/>
        <v>Posgrado</v>
      </c>
      <c r="L835" s="98" t="s">
        <v>394</v>
      </c>
    </row>
    <row r="836" spans="3:12" ht="15.75" thickBot="1" x14ac:dyDescent="0.3">
      <c r="C836" s="172" t="s">
        <v>59</v>
      </c>
      <c r="D836" s="163"/>
      <c r="E836" s="154">
        <v>0</v>
      </c>
      <c r="F836" s="117">
        <f>IF(E834&lt;6,"",((E834-6)/12)*(G834/E834))</f>
        <v>0</v>
      </c>
      <c r="G836" s="97">
        <f>F836</f>
        <v>0</v>
      </c>
      <c r="H836" s="164"/>
      <c r="I836" s="101" t="s">
        <v>518</v>
      </c>
      <c r="J836" s="101" t="str">
        <f>VLOOKUP(I836,Presupuesto!$B$11:$C$565,2,0)</f>
        <v>DECIMOCUARTO MES</v>
      </c>
      <c r="K836" s="98" t="str">
        <f t="shared" si="24"/>
        <v>Posgrado</v>
      </c>
      <c r="L836" s="98" t="s">
        <v>394</v>
      </c>
    </row>
    <row r="837" spans="3:12" ht="15.75" thickBot="1" x14ac:dyDescent="0.3">
      <c r="C837" s="137" t="s">
        <v>491</v>
      </c>
      <c r="D837" s="199"/>
      <c r="E837" s="152">
        <v>12</v>
      </c>
      <c r="F837" s="303">
        <f>HLOOKUP($C837,$BZ$2:$CM$3,2,0)</f>
        <v>13238.9</v>
      </c>
      <c r="G837" s="113">
        <f>D837*E837*F837</f>
        <v>0</v>
      </c>
      <c r="H837" s="166"/>
      <c r="I837" s="114" t="s">
        <v>495</v>
      </c>
      <c r="J837" s="114" t="str">
        <f>VLOOKUP(I837,Presupuesto!$B$11:$C$565,2,0)</f>
        <v>SUELDOS Y SALARIOS PERMANENTES</v>
      </c>
      <c r="K837" s="98" t="str">
        <f t="shared" si="24"/>
        <v>Posgrado</v>
      </c>
      <c r="L837" s="98" t="s">
        <v>394</v>
      </c>
    </row>
    <row r="838" spans="3:12" x14ac:dyDescent="0.25">
      <c r="C838" s="171" t="s">
        <v>58</v>
      </c>
      <c r="D838" s="163"/>
      <c r="E838" s="154">
        <v>0</v>
      </c>
      <c r="F838" s="100">
        <f>IF(E837=0,"",(G837/E837)/12*E837)</f>
        <v>0</v>
      </c>
      <c r="G838" s="97">
        <f>F838</f>
        <v>0</v>
      </c>
      <c r="H838" s="164"/>
      <c r="I838" s="116" t="s">
        <v>515</v>
      </c>
      <c r="J838" s="116" t="str">
        <f>VLOOKUP(I838,Presupuesto!$B$11:$C$565,2,0)</f>
        <v>AGUINALDO Y DECIMO CUARTO MES</v>
      </c>
      <c r="K838" s="98" t="str">
        <f t="shared" si="24"/>
        <v>Posgrado</v>
      </c>
      <c r="L838" s="98" t="s">
        <v>394</v>
      </c>
    </row>
    <row r="839" spans="3:12" ht="15.75" thickBot="1" x14ac:dyDescent="0.3">
      <c r="C839" s="172" t="s">
        <v>59</v>
      </c>
      <c r="D839" s="163"/>
      <c r="E839" s="154">
        <v>0</v>
      </c>
      <c r="F839" s="117">
        <f>IF(E837&lt;6,"",((E837-6)/12)*(G837/E837))</f>
        <v>0</v>
      </c>
      <c r="G839" s="97">
        <f>F839</f>
        <v>0</v>
      </c>
      <c r="H839" s="164"/>
      <c r="I839" s="101" t="s">
        <v>518</v>
      </c>
      <c r="J839" s="101" t="str">
        <f>VLOOKUP(I839,Presupuesto!$B$11:$C$565,2,0)</f>
        <v>DECIMOCUARTO MES</v>
      </c>
      <c r="K839" s="98" t="str">
        <f t="shared" si="24"/>
        <v>Posgrado</v>
      </c>
      <c r="L839" s="98" t="s">
        <v>394</v>
      </c>
    </row>
    <row r="840" spans="3:12" ht="15.75" thickBot="1" x14ac:dyDescent="0.3">
      <c r="C840" s="137" t="s">
        <v>492</v>
      </c>
      <c r="D840" s="199"/>
      <c r="E840" s="152">
        <v>12</v>
      </c>
      <c r="F840" s="303">
        <f>HLOOKUP($C840,$BZ$2:$CM$3,2,0)</f>
        <v>12356.31</v>
      </c>
      <c r="G840" s="113">
        <f>D840*E840*F840</f>
        <v>0</v>
      </c>
      <c r="H840" s="166"/>
      <c r="I840" s="114" t="s">
        <v>495</v>
      </c>
      <c r="J840" s="114" t="str">
        <f>VLOOKUP(I840,Presupuesto!$B$11:$C$565,2,0)</f>
        <v>SUELDOS Y SALARIOS PERMANENTES</v>
      </c>
      <c r="K840" s="98" t="str">
        <f t="shared" ref="K840:K857" si="25">$K$807</f>
        <v>Posgrado</v>
      </c>
      <c r="L840" s="98" t="s">
        <v>394</v>
      </c>
    </row>
    <row r="841" spans="3:12" x14ac:dyDescent="0.25">
      <c r="C841" s="171" t="s">
        <v>58</v>
      </c>
      <c r="D841" s="163"/>
      <c r="E841" s="154">
        <v>0</v>
      </c>
      <c r="F841" s="100">
        <f>IF(E840=0,"",(G840/E840)/12*E840)</f>
        <v>0</v>
      </c>
      <c r="G841" s="97">
        <f>F841</f>
        <v>0</v>
      </c>
      <c r="H841" s="164"/>
      <c r="I841" s="116" t="s">
        <v>515</v>
      </c>
      <c r="J841" s="116" t="str">
        <f>VLOOKUP(I841,Presupuesto!$B$11:$C$565,2,0)</f>
        <v>AGUINALDO Y DECIMO CUARTO MES</v>
      </c>
      <c r="K841" s="98" t="str">
        <f t="shared" si="25"/>
        <v>Posgrado</v>
      </c>
      <c r="L841" s="98" t="s">
        <v>394</v>
      </c>
    </row>
    <row r="842" spans="3:12" ht="15.75" thickBot="1" x14ac:dyDescent="0.3">
      <c r="C842" s="172" t="s">
        <v>59</v>
      </c>
      <c r="D842" s="163"/>
      <c r="E842" s="154">
        <v>0</v>
      </c>
      <c r="F842" s="117">
        <f>IF(E840&lt;6,"",((E840-6)/12)*(G840/E840))</f>
        <v>0</v>
      </c>
      <c r="G842" s="97">
        <f>F842</f>
        <v>0</v>
      </c>
      <c r="H842" s="164"/>
      <c r="I842" s="101" t="s">
        <v>518</v>
      </c>
      <c r="J842" s="101" t="str">
        <f>VLOOKUP(I842,Presupuesto!$B$11:$C$565,2,0)</f>
        <v>DECIMOCUARTO MES</v>
      </c>
      <c r="K842" s="98" t="str">
        <f t="shared" si="25"/>
        <v>Posgrado</v>
      </c>
      <c r="L842" s="98" t="s">
        <v>394</v>
      </c>
    </row>
    <row r="843" spans="3:12" ht="15.75" thickBot="1" x14ac:dyDescent="0.3">
      <c r="C843" s="137" t="s">
        <v>493</v>
      </c>
      <c r="D843" s="199"/>
      <c r="E843" s="152">
        <v>12</v>
      </c>
      <c r="F843" s="303">
        <f>HLOOKUP($C843,$BZ$2:$CM$3,2,0)</f>
        <v>463.22</v>
      </c>
      <c r="G843" s="113">
        <f>D843*E843*F843</f>
        <v>0</v>
      </c>
      <c r="H843" s="166"/>
      <c r="I843" s="114" t="s">
        <v>495</v>
      </c>
      <c r="J843" s="114" t="str">
        <f>VLOOKUP(I843,Presupuesto!$B$11:$C$565,2,0)</f>
        <v>SUELDOS Y SALARIOS PERMANENTES</v>
      </c>
      <c r="K843" s="98" t="str">
        <f t="shared" si="25"/>
        <v>Posgrado</v>
      </c>
      <c r="L843" s="98" t="s">
        <v>394</v>
      </c>
    </row>
    <row r="844" spans="3:12" x14ac:dyDescent="0.25">
      <c r="C844" s="171" t="s">
        <v>58</v>
      </c>
      <c r="D844" s="163"/>
      <c r="E844" s="154">
        <v>0</v>
      </c>
      <c r="F844" s="100">
        <f>IF(E843=0,"",(G843/E843)/12*E843)</f>
        <v>0</v>
      </c>
      <c r="G844" s="97">
        <f>F844</f>
        <v>0</v>
      </c>
      <c r="H844" s="164"/>
      <c r="I844" s="116" t="s">
        <v>515</v>
      </c>
      <c r="J844" s="116" t="str">
        <f>VLOOKUP(I844,Presupuesto!$B$11:$C$565,2,0)</f>
        <v>AGUINALDO Y DECIMO CUARTO MES</v>
      </c>
      <c r="K844" s="98" t="str">
        <f t="shared" si="25"/>
        <v>Posgrado</v>
      </c>
      <c r="L844" s="98" t="s">
        <v>394</v>
      </c>
    </row>
    <row r="845" spans="3:12" ht="15.75" thickBot="1" x14ac:dyDescent="0.3">
      <c r="C845" s="172" t="s">
        <v>59</v>
      </c>
      <c r="D845" s="163"/>
      <c r="E845" s="154">
        <v>0</v>
      </c>
      <c r="F845" s="117">
        <f>IF(E843&lt;6,"",((E843-6)/12)*(G843/E843))</f>
        <v>0</v>
      </c>
      <c r="G845" s="97">
        <f>F845</f>
        <v>0</v>
      </c>
      <c r="H845" s="164"/>
      <c r="I845" s="101" t="s">
        <v>518</v>
      </c>
      <c r="J845" s="101" t="str">
        <f>VLOOKUP(I845,Presupuesto!$B$11:$C$565,2,0)</f>
        <v>DECIMOCUARTO MES</v>
      </c>
      <c r="K845" s="98" t="str">
        <f t="shared" si="25"/>
        <v>Posgrado</v>
      </c>
      <c r="L845" s="98" t="s">
        <v>394</v>
      </c>
    </row>
    <row r="846" spans="3:12" ht="15.75" thickBot="1" x14ac:dyDescent="0.3">
      <c r="C846" s="137" t="s">
        <v>494</v>
      </c>
      <c r="D846" s="199"/>
      <c r="E846" s="152">
        <v>12</v>
      </c>
      <c r="F846" s="303">
        <f>HLOOKUP($C846,$BZ$2:$CM$3,2,0)</f>
        <v>2007.3</v>
      </c>
      <c r="G846" s="113">
        <f>D846*E846*F846</f>
        <v>0</v>
      </c>
      <c r="H846" s="166"/>
      <c r="I846" s="114" t="s">
        <v>495</v>
      </c>
      <c r="J846" s="114" t="str">
        <f>VLOOKUP(I846,Presupuesto!$B$11:$C$565,2,0)</f>
        <v>SUELDOS Y SALARIOS PERMANENTES</v>
      </c>
      <c r="K846" s="98" t="str">
        <f t="shared" si="25"/>
        <v>Posgrado</v>
      </c>
      <c r="L846" s="98" t="s">
        <v>394</v>
      </c>
    </row>
    <row r="847" spans="3:12" x14ac:dyDescent="0.25">
      <c r="C847" s="171" t="s">
        <v>58</v>
      </c>
      <c r="D847" s="163"/>
      <c r="E847" s="154">
        <v>0</v>
      </c>
      <c r="F847" s="100">
        <f>IF(E846=0,"",(G846/E846)/12*E846)</f>
        <v>0</v>
      </c>
      <c r="G847" s="97">
        <f>F847</f>
        <v>0</v>
      </c>
      <c r="H847" s="164"/>
      <c r="I847" s="116" t="s">
        <v>515</v>
      </c>
      <c r="J847" s="116" t="str">
        <f>VLOOKUP(I847,Presupuesto!$B$11:$C$565,2,0)</f>
        <v>AGUINALDO Y DECIMO CUARTO MES</v>
      </c>
      <c r="K847" s="98" t="str">
        <f t="shared" si="25"/>
        <v>Posgrado</v>
      </c>
      <c r="L847" s="98" t="s">
        <v>394</v>
      </c>
    </row>
    <row r="848" spans="3:12" ht="15.75" thickBot="1" x14ac:dyDescent="0.3">
      <c r="C848" s="172" t="s">
        <v>59</v>
      </c>
      <c r="D848" s="163"/>
      <c r="E848" s="154">
        <v>0</v>
      </c>
      <c r="F848" s="117">
        <f>IF(E846&lt;6,"",((E846-6)/12)*(G846/E846))</f>
        <v>0</v>
      </c>
      <c r="G848" s="97">
        <f>F848</f>
        <v>0</v>
      </c>
      <c r="H848" s="164"/>
      <c r="I848" s="101" t="s">
        <v>518</v>
      </c>
      <c r="J848" s="101" t="str">
        <f>VLOOKUP(I848,Presupuesto!$B$11:$C$565,2,0)</f>
        <v>DECIMOCUARTO MES</v>
      </c>
      <c r="K848" s="98" t="str">
        <f t="shared" si="25"/>
        <v>Posgrado</v>
      </c>
      <c r="L848" s="98" t="s">
        <v>394</v>
      </c>
    </row>
    <row r="849" spans="3:12" ht="15.75" thickBot="1" x14ac:dyDescent="0.3">
      <c r="C849" s="140" t="s">
        <v>83</v>
      </c>
      <c r="D849" s="199"/>
      <c r="E849" s="152">
        <v>12</v>
      </c>
      <c r="F849" s="139">
        <v>30000</v>
      </c>
      <c r="G849" s="113">
        <f>D849*E849*F849</f>
        <v>0</v>
      </c>
      <c r="H849" s="166"/>
      <c r="I849" s="114" t="s">
        <v>563</v>
      </c>
      <c r="J849" s="114" t="str">
        <f>VLOOKUP(I849,Presupuesto!$B$11:$C$565,2,0)</f>
        <v>CONTRATOS ESPECIALES</v>
      </c>
      <c r="K849" s="98" t="str">
        <f t="shared" si="25"/>
        <v>Posgrado</v>
      </c>
      <c r="L849" s="98" t="s">
        <v>394</v>
      </c>
    </row>
    <row r="850" spans="3:12" x14ac:dyDescent="0.25">
      <c r="C850" s="171" t="s">
        <v>58</v>
      </c>
      <c r="D850" s="163"/>
      <c r="E850" s="154">
        <v>0</v>
      </c>
      <c r="F850" s="117">
        <f>IF(E849=0,"",(G849/E849)/12*E849)</f>
        <v>0</v>
      </c>
      <c r="G850" s="97">
        <f>F850</f>
        <v>0</v>
      </c>
      <c r="H850" s="164"/>
      <c r="I850" s="101" t="s">
        <v>563</v>
      </c>
      <c r="J850" s="101" t="str">
        <f>VLOOKUP(I850,Presupuesto!$B$11:$C$565,2,0)</f>
        <v>CONTRATOS ESPECIALES</v>
      </c>
      <c r="K850" s="98" t="str">
        <f t="shared" si="25"/>
        <v>Posgrado</v>
      </c>
      <c r="L850" s="98" t="s">
        <v>393</v>
      </c>
    </row>
    <row r="851" spans="3:12" ht="15.75" thickBot="1" x14ac:dyDescent="0.3">
      <c r="C851" s="172" t="s">
        <v>59</v>
      </c>
      <c r="D851" s="163"/>
      <c r="E851" s="154">
        <v>0</v>
      </c>
      <c r="F851" s="100">
        <f>IF(E849&lt;6,"",((E849-6)/12)*(G849/E849))</f>
        <v>0</v>
      </c>
      <c r="G851" s="97">
        <f>F851</f>
        <v>0</v>
      </c>
      <c r="H851" s="164"/>
      <c r="I851" s="101" t="s">
        <v>563</v>
      </c>
      <c r="J851" s="101" t="str">
        <f>VLOOKUP(I851,Presupuesto!$B$11:$C$565,2,0)</f>
        <v>CONTRATOS ESPECIALES</v>
      </c>
      <c r="K851" s="98" t="str">
        <f t="shared" si="25"/>
        <v>Posgrado</v>
      </c>
      <c r="L851" s="98" t="s">
        <v>398</v>
      </c>
    </row>
    <row r="852" spans="3:12" ht="15.75" thickBot="1" x14ac:dyDescent="0.3">
      <c r="C852" s="140" t="s">
        <v>60</v>
      </c>
      <c r="D852" s="199"/>
      <c r="E852" s="152">
        <v>12</v>
      </c>
      <c r="F852" s="118">
        <v>30000</v>
      </c>
      <c r="G852" s="113">
        <f>D852*E852*F852</f>
        <v>0</v>
      </c>
      <c r="H852" s="166"/>
      <c r="I852" s="114" t="s">
        <v>704</v>
      </c>
      <c r="J852" s="114" t="str">
        <f>VLOOKUP(I852,Presupuesto!$B$11:$C$565,2,0)</f>
        <v>OTROS SERVICIOS TECNICOS Y PROFESIONALES</v>
      </c>
      <c r="K852" s="98" t="str">
        <f t="shared" si="25"/>
        <v>Posgrado</v>
      </c>
      <c r="L852" s="98" t="s">
        <v>393</v>
      </c>
    </row>
    <row r="853" spans="3:12" x14ac:dyDescent="0.25">
      <c r="C853" s="171" t="s">
        <v>58</v>
      </c>
      <c r="D853" s="163"/>
      <c r="E853" s="154">
        <v>0</v>
      </c>
      <c r="F853" s="100">
        <v>0</v>
      </c>
      <c r="G853" s="97">
        <f>F853</f>
        <v>0</v>
      </c>
      <c r="H853" s="164"/>
      <c r="I853" s="101" t="s">
        <v>704</v>
      </c>
      <c r="J853" s="101" t="str">
        <f>VLOOKUP(I853,Presupuesto!$B$11:$C$565,2,0)</f>
        <v>OTROS SERVICIOS TECNICOS Y PROFESIONALES</v>
      </c>
      <c r="K853" s="98" t="str">
        <f t="shared" si="25"/>
        <v>Posgrado</v>
      </c>
      <c r="L853" s="98" t="s">
        <v>393</v>
      </c>
    </row>
    <row r="854" spans="3:12" ht="15.75" thickBot="1" x14ac:dyDescent="0.3">
      <c r="C854" s="172" t="s">
        <v>59</v>
      </c>
      <c r="D854" s="163"/>
      <c r="E854" s="154">
        <v>0</v>
      </c>
      <c r="F854" s="100">
        <v>0</v>
      </c>
      <c r="G854" s="97">
        <f>F854</f>
        <v>0</v>
      </c>
      <c r="H854" s="164"/>
      <c r="I854" s="101" t="s">
        <v>704</v>
      </c>
      <c r="J854" s="101" t="str">
        <f>VLOOKUP(I854,Presupuesto!$B$11:$C$565,2,0)</f>
        <v>OTROS SERVICIOS TECNICOS Y PROFESIONALES</v>
      </c>
      <c r="K854" s="98" t="str">
        <f t="shared" si="25"/>
        <v>Posgrado</v>
      </c>
      <c r="L854" s="98" t="s">
        <v>393</v>
      </c>
    </row>
    <row r="855" spans="3:12" ht="15.75" thickBot="1" x14ac:dyDescent="0.3">
      <c r="C855" s="140" t="s">
        <v>61</v>
      </c>
      <c r="D855" s="199"/>
      <c r="E855" s="152">
        <v>12</v>
      </c>
      <c r="F855" s="118">
        <v>30000</v>
      </c>
      <c r="G855" s="113">
        <f>D855*E855*F855</f>
        <v>0</v>
      </c>
      <c r="H855" s="166"/>
      <c r="I855" s="114" t="s">
        <v>495</v>
      </c>
      <c r="J855" s="114" t="str">
        <f>VLOOKUP(I855,Presupuesto!$B$11:$C$565,2,0)</f>
        <v>SUELDOS Y SALARIOS PERMANENTES</v>
      </c>
      <c r="K855" s="98" t="str">
        <f t="shared" si="25"/>
        <v>Posgrado</v>
      </c>
      <c r="L855" s="98" t="s">
        <v>393</v>
      </c>
    </row>
    <row r="856" spans="3:12" x14ac:dyDescent="0.25">
      <c r="C856" s="171" t="s">
        <v>58</v>
      </c>
      <c r="D856" s="169"/>
      <c r="E856" s="131">
        <v>0</v>
      </c>
      <c r="F856" s="119">
        <f>IF(E855=0,"",(G855/E855)/12*E855)</f>
        <v>0</v>
      </c>
      <c r="G856" s="120">
        <f>F856</f>
        <v>0</v>
      </c>
      <c r="H856" s="164"/>
      <c r="I856" s="101" t="s">
        <v>515</v>
      </c>
      <c r="J856" s="101" t="str">
        <f>VLOOKUP(I856,Presupuesto!$B$11:$C$565,2,0)</f>
        <v>AGUINALDO Y DECIMO CUARTO MES</v>
      </c>
      <c r="K856" s="98" t="str">
        <f t="shared" si="25"/>
        <v>Posgrado</v>
      </c>
      <c r="L856" s="98" t="s">
        <v>393</v>
      </c>
    </row>
    <row r="857" spans="3:12" ht="15.75" thickBot="1" x14ac:dyDescent="0.3">
      <c r="C857" s="173" t="s">
        <v>59</v>
      </c>
      <c r="D857" s="162"/>
      <c r="E857" s="132">
        <v>0</v>
      </c>
      <c r="F857" s="105">
        <f>IF(E855&lt;6,"",((E855-6)/12)*(G855/E855))</f>
        <v>0</v>
      </c>
      <c r="G857" s="105">
        <f>F857</f>
        <v>0</v>
      </c>
      <c r="H857" s="162"/>
      <c r="I857" s="106" t="s">
        <v>518</v>
      </c>
      <c r="J857" s="124" t="str">
        <f>VLOOKUP(I857,Presupuesto!$B$11:$C$565,2,0)</f>
        <v>DECIMOCUARTO MES</v>
      </c>
      <c r="K857" s="106" t="str">
        <f t="shared" si="25"/>
        <v>Posgrado</v>
      </c>
      <c r="L857" s="124" t="s">
        <v>393</v>
      </c>
    </row>
    <row r="859" spans="3:12" ht="15.75" thickBot="1" x14ac:dyDescent="0.3"/>
    <row r="860" spans="3:12" ht="15.75" thickBot="1" x14ac:dyDescent="0.3">
      <c r="C860" s="69" t="s">
        <v>43</v>
      </c>
      <c r="D860" s="30">
        <f>SUM(G867:G917)</f>
        <v>0</v>
      </c>
      <c r="E860" s="93"/>
      <c r="F860" s="93"/>
      <c r="G860" s="93"/>
      <c r="H860" s="76"/>
      <c r="I860" s="76"/>
      <c r="J860" s="76"/>
    </row>
    <row r="861" spans="3:12" x14ac:dyDescent="0.25">
      <c r="D861" s="31"/>
      <c r="E861" s="93"/>
      <c r="F861" s="93"/>
      <c r="G861" s="93"/>
      <c r="H861" s="76"/>
      <c r="I861" s="76"/>
      <c r="J861" s="76"/>
    </row>
    <row r="862" spans="3:12" x14ac:dyDescent="0.25">
      <c r="D862" s="31"/>
      <c r="E862" s="93"/>
      <c r="F862" s="93"/>
      <c r="G862" s="93"/>
      <c r="H862" s="76"/>
      <c r="I862" s="76"/>
      <c r="J862" s="76"/>
    </row>
    <row r="863" spans="3:12" ht="15.75" x14ac:dyDescent="0.25">
      <c r="C863" s="202" t="s">
        <v>391</v>
      </c>
      <c r="D863" s="368"/>
      <c r="E863" s="93"/>
      <c r="F863" s="93"/>
      <c r="G863" s="93"/>
      <c r="H863" s="76"/>
      <c r="I863" s="76"/>
      <c r="J863" s="76"/>
    </row>
    <row r="864" spans="3:12" ht="18.75" x14ac:dyDescent="0.25">
      <c r="C864" s="210" t="e">
        <f>IFERROR(VLOOKUP(D863,'1. Desarrollo e Innov. Curricu.'!$F:$G,2,FALSE),IFERROR(VLOOKUP(D863,'2. Investigación Científica'!$F:$G,2,FALSE),IFERROR(VLOOKUP(D863,'3. Vinculación Univ. Sociedad'!$F:$G,2,FALSE),IFERROR(VLOOKUP(D863,'4. Docencia y Profesorado Univ.'!$F:$G,2,FALSE),IFERROR(VLOOKUP(D863,'5. Estudiantes y Graduados'!$F:$G,2,FALSE),IFERROR(VLOOKUP(D863,'11. Gestion Administrativa'!$F:$G,2,FALSE),IFERROR(VLOOKUP(D863,'13. Gestión Académica'!$F:$G,2,FALSE),IFERROR(VLOOKUP(D863,'9. Asegura. de la Calid. y M'!$F:$G,2,FALSE),IFERROR(VLOOKUP(D863,'6. Gestión del Conocimiento'!$F:$G,2,FALSE),IFERROR(VLOOKUP(D863,'15. Gobernabilidad y Proceso...'!$F:$G,2,FALSE),IFERROR(VLOOKUP(D863,'12. Gestión del Talento Humano'!$F:$G,2,FALSE),IFERROR(VLOOKUP(D863,'14. Internacional... de la E.S.'!$F:$G,2,FALSE),IFERROR(VLOOKUP(D863,'10. Posgrado'!$F:$G,2,FALSE),IFERROR(VLOOKUP(D863,'17. Gestión TIC'!$F:$G,2,FALSE),IFERROR(VLOOKUP(D863,'16. Desa. del Sistema Educ.Sup.'!$F:$G,2,FALSE),IFERROR(VLOOKUP(D863,'8. Cultura de Inno. Insti...'!$F:$G,2,FALSE),VLOOKUP(D863,'7. Lo Esencial de la Reforma U.'!$F:$G,2,0)))))))))))))))))</f>
        <v>#N/A</v>
      </c>
      <c r="D864" s="31"/>
      <c r="E864" s="93"/>
      <c r="F864" s="93"/>
      <c r="G864" s="93"/>
      <c r="H864" s="76"/>
      <c r="I864" s="76"/>
      <c r="J864" s="76"/>
    </row>
    <row r="865" spans="3:12" ht="15.75" thickBot="1" x14ac:dyDescent="0.3">
      <c r="C865" s="177"/>
      <c r="D865" s="31"/>
      <c r="E865" s="93"/>
      <c r="F865" s="93"/>
      <c r="G865" s="93"/>
      <c r="H865" s="76"/>
      <c r="I865" s="76"/>
      <c r="J865" s="76"/>
      <c r="K865" s="153"/>
    </row>
    <row r="866" spans="3:12" ht="30.75" thickBot="1" x14ac:dyDescent="0.3">
      <c r="C866" s="134" t="s">
        <v>44</v>
      </c>
      <c r="D866" s="138" t="s">
        <v>55</v>
      </c>
      <c r="E866" s="170" t="s">
        <v>56</v>
      </c>
      <c r="F866" s="138" t="s">
        <v>57</v>
      </c>
      <c r="G866" s="135" t="s">
        <v>27</v>
      </c>
      <c r="H866" s="133" t="s">
        <v>130</v>
      </c>
      <c r="I866" s="136" t="s">
        <v>46</v>
      </c>
      <c r="J866" s="136" t="s">
        <v>131</v>
      </c>
      <c r="K866" s="136" t="s">
        <v>409</v>
      </c>
      <c r="L866" s="136" t="s">
        <v>410</v>
      </c>
    </row>
    <row r="867" spans="3:12" ht="15.75" thickBot="1" x14ac:dyDescent="0.3">
      <c r="C867" s="137" t="s">
        <v>481</v>
      </c>
      <c r="D867" s="199"/>
      <c r="E867" s="152">
        <v>12</v>
      </c>
      <c r="F867" s="303">
        <f>HLOOKUP($C867,$BZ$2:$CM$3,2,0)</f>
        <v>43674.39</v>
      </c>
      <c r="G867" s="113">
        <f>D867*E867*F867</f>
        <v>0</v>
      </c>
      <c r="H867" s="166"/>
      <c r="I867" s="114" t="s">
        <v>495</v>
      </c>
      <c r="J867" s="114" t="str">
        <f>VLOOKUP(I867,Presupuesto!$B$11:$C$565,2,0)</f>
        <v>SUELDOS Y SALARIOS PERMANENTES</v>
      </c>
      <c r="K867" s="218" t="s">
        <v>1471</v>
      </c>
      <c r="L867" s="98" t="s">
        <v>393</v>
      </c>
    </row>
    <row r="868" spans="3:12" x14ac:dyDescent="0.25">
      <c r="C868" s="171" t="s">
        <v>58</v>
      </c>
      <c r="D868" s="163"/>
      <c r="E868" s="154">
        <v>0</v>
      </c>
      <c r="F868" s="100">
        <f>IF(E867=0,"",(G867/E867)/12*E867)</f>
        <v>0</v>
      </c>
      <c r="G868" s="97">
        <f>F868</f>
        <v>0</v>
      </c>
      <c r="H868" s="164"/>
      <c r="I868" s="116" t="s">
        <v>515</v>
      </c>
      <c r="J868" s="116" t="str">
        <f>VLOOKUP(I868,Presupuesto!$B$11:$C$565,2,0)</f>
        <v>AGUINALDO Y DECIMO CUARTO MES</v>
      </c>
      <c r="K868" s="98" t="str">
        <f t="shared" ref="K868:K899" si="26">$K$867</f>
        <v>Desarrollo del Sistema de Educación Superior</v>
      </c>
      <c r="L868" s="98" t="s">
        <v>411</v>
      </c>
    </row>
    <row r="869" spans="3:12" ht="15.75" thickBot="1" x14ac:dyDescent="0.3">
      <c r="C869" s="172" t="s">
        <v>59</v>
      </c>
      <c r="D869" s="163"/>
      <c r="E869" s="154">
        <v>0</v>
      </c>
      <c r="F869" s="117">
        <f>IF(E867&lt;6,"",((E867-6)/12)*(G867/E867))</f>
        <v>0</v>
      </c>
      <c r="G869" s="97">
        <f>F869</f>
        <v>0</v>
      </c>
      <c r="H869" s="164"/>
      <c r="I869" s="101" t="s">
        <v>518</v>
      </c>
      <c r="J869" s="101" t="str">
        <f>VLOOKUP(I869,Presupuesto!$B$11:$C$565,2,0)</f>
        <v>DECIMOCUARTO MES</v>
      </c>
      <c r="K869" s="98" t="str">
        <f t="shared" si="26"/>
        <v>Desarrollo del Sistema de Educación Superior</v>
      </c>
      <c r="L869" s="98" t="s">
        <v>394</v>
      </c>
    </row>
    <row r="870" spans="3:12" ht="15.75" thickBot="1" x14ac:dyDescent="0.3">
      <c r="C870" s="137" t="s">
        <v>482</v>
      </c>
      <c r="D870" s="199"/>
      <c r="E870" s="152">
        <v>12</v>
      </c>
      <c r="F870" s="303">
        <f>HLOOKUP($C870,$BZ$2:$CM$3,2,0)</f>
        <v>39703.99</v>
      </c>
      <c r="G870" s="113">
        <f>D870*E870*F870</f>
        <v>0</v>
      </c>
      <c r="H870" s="166"/>
      <c r="I870" s="114" t="s">
        <v>495</v>
      </c>
      <c r="J870" s="114" t="str">
        <f>VLOOKUP(I870,Presupuesto!$B$11:$C$565,2,0)</f>
        <v>SUELDOS Y SALARIOS PERMANENTES</v>
      </c>
      <c r="K870" s="98" t="str">
        <f t="shared" si="26"/>
        <v>Desarrollo del Sistema de Educación Superior</v>
      </c>
      <c r="L870" s="98" t="s">
        <v>394</v>
      </c>
    </row>
    <row r="871" spans="3:12" x14ac:dyDescent="0.25">
      <c r="C871" s="171" t="s">
        <v>58</v>
      </c>
      <c r="D871" s="163"/>
      <c r="E871" s="154">
        <v>0</v>
      </c>
      <c r="F871" s="100">
        <f>IF(E870=0,"",(G870/E870)/12*E870)</f>
        <v>0</v>
      </c>
      <c r="G871" s="97">
        <f>F871</f>
        <v>0</v>
      </c>
      <c r="H871" s="164"/>
      <c r="I871" s="116" t="s">
        <v>515</v>
      </c>
      <c r="J871" s="116" t="str">
        <f>VLOOKUP(I871,Presupuesto!$B$11:$C$565,2,0)</f>
        <v>AGUINALDO Y DECIMO CUARTO MES</v>
      </c>
      <c r="K871" s="98" t="str">
        <f t="shared" si="26"/>
        <v>Desarrollo del Sistema de Educación Superior</v>
      </c>
      <c r="L871" s="98" t="s">
        <v>394</v>
      </c>
    </row>
    <row r="872" spans="3:12" ht="15.75" thickBot="1" x14ac:dyDescent="0.3">
      <c r="C872" s="172" t="s">
        <v>59</v>
      </c>
      <c r="D872" s="163"/>
      <c r="E872" s="154">
        <v>0</v>
      </c>
      <c r="F872" s="117">
        <f>IF(E870&lt;6,"",((E870-6)/12)*(G870/E870))</f>
        <v>0</v>
      </c>
      <c r="G872" s="97">
        <f>F872</f>
        <v>0</v>
      </c>
      <c r="H872" s="164"/>
      <c r="I872" s="101" t="s">
        <v>518</v>
      </c>
      <c r="J872" s="101" t="str">
        <f>VLOOKUP(I872,Presupuesto!$B$11:$C$565,2,0)</f>
        <v>DECIMOCUARTO MES</v>
      </c>
      <c r="K872" s="98" t="str">
        <f t="shared" si="26"/>
        <v>Desarrollo del Sistema de Educación Superior</v>
      </c>
      <c r="L872" s="98" t="s">
        <v>394</v>
      </c>
    </row>
    <row r="873" spans="3:12" ht="15.75" thickBot="1" x14ac:dyDescent="0.3">
      <c r="C873" s="137" t="s">
        <v>483</v>
      </c>
      <c r="D873" s="199"/>
      <c r="E873" s="152">
        <v>12</v>
      </c>
      <c r="F873" s="303">
        <f>HLOOKUP($C873,$BZ$2:$CM$3,2,0)</f>
        <v>35733.589999999997</v>
      </c>
      <c r="G873" s="113">
        <f>D873*E873*F873</f>
        <v>0</v>
      </c>
      <c r="H873" s="166"/>
      <c r="I873" s="114" t="s">
        <v>495</v>
      </c>
      <c r="J873" s="114" t="str">
        <f>VLOOKUP(I873,Presupuesto!$B$11:$C$565,2,0)</f>
        <v>SUELDOS Y SALARIOS PERMANENTES</v>
      </c>
      <c r="K873" s="98" t="str">
        <f t="shared" si="26"/>
        <v>Desarrollo del Sistema de Educación Superior</v>
      </c>
      <c r="L873" s="98" t="s">
        <v>394</v>
      </c>
    </row>
    <row r="874" spans="3:12" x14ac:dyDescent="0.25">
      <c r="C874" s="171" t="s">
        <v>58</v>
      </c>
      <c r="D874" s="163"/>
      <c r="E874" s="154">
        <v>0</v>
      </c>
      <c r="F874" s="100">
        <f>IF(E873=0,"",(G873/E873)/12*E873)</f>
        <v>0</v>
      </c>
      <c r="G874" s="97">
        <f>F874</f>
        <v>0</v>
      </c>
      <c r="H874" s="164"/>
      <c r="I874" s="116" t="s">
        <v>515</v>
      </c>
      <c r="J874" s="116" t="str">
        <f>VLOOKUP(I874,Presupuesto!$B$11:$C$565,2,0)</f>
        <v>AGUINALDO Y DECIMO CUARTO MES</v>
      </c>
      <c r="K874" s="98" t="str">
        <f t="shared" si="26"/>
        <v>Desarrollo del Sistema de Educación Superior</v>
      </c>
      <c r="L874" s="98" t="s">
        <v>394</v>
      </c>
    </row>
    <row r="875" spans="3:12" ht="15.75" thickBot="1" x14ac:dyDescent="0.3">
      <c r="C875" s="172" t="s">
        <v>59</v>
      </c>
      <c r="D875" s="163"/>
      <c r="E875" s="154">
        <v>0</v>
      </c>
      <c r="F875" s="117">
        <f>IF(E873&lt;6,"",((E873-6)/12)*(G873/E873))</f>
        <v>0</v>
      </c>
      <c r="G875" s="97">
        <f>F875</f>
        <v>0</v>
      </c>
      <c r="H875" s="164"/>
      <c r="I875" s="101" t="s">
        <v>518</v>
      </c>
      <c r="J875" s="101" t="str">
        <f>VLOOKUP(I875,Presupuesto!$B$11:$C$565,2,0)</f>
        <v>DECIMOCUARTO MES</v>
      </c>
      <c r="K875" s="98" t="str">
        <f t="shared" si="26"/>
        <v>Desarrollo del Sistema de Educación Superior</v>
      </c>
      <c r="L875" s="98" t="s">
        <v>394</v>
      </c>
    </row>
    <row r="876" spans="3:12" ht="15.75" thickBot="1" x14ac:dyDescent="0.3">
      <c r="C876" s="137" t="s">
        <v>484</v>
      </c>
      <c r="D876" s="199"/>
      <c r="E876" s="152">
        <v>12</v>
      </c>
      <c r="F876" s="303">
        <f>HLOOKUP($C876,$BZ$2:$CM$3,2,0)</f>
        <v>31763.19</v>
      </c>
      <c r="G876" s="113">
        <f>D876*E876*F876</f>
        <v>0</v>
      </c>
      <c r="H876" s="166"/>
      <c r="I876" s="114" t="s">
        <v>495</v>
      </c>
      <c r="J876" s="114" t="str">
        <f>VLOOKUP(I876,Presupuesto!$B$11:$C$565,2,0)</f>
        <v>SUELDOS Y SALARIOS PERMANENTES</v>
      </c>
      <c r="K876" s="98" t="str">
        <f t="shared" si="26"/>
        <v>Desarrollo del Sistema de Educación Superior</v>
      </c>
      <c r="L876" s="98" t="s">
        <v>394</v>
      </c>
    </row>
    <row r="877" spans="3:12" x14ac:dyDescent="0.25">
      <c r="C877" s="171" t="s">
        <v>58</v>
      </c>
      <c r="D877" s="163"/>
      <c r="E877" s="154">
        <v>0</v>
      </c>
      <c r="F877" s="100">
        <f>IF(E876=0,"",(G876/E876)/12*E876)</f>
        <v>0</v>
      </c>
      <c r="G877" s="97">
        <f>F877</f>
        <v>0</v>
      </c>
      <c r="H877" s="164"/>
      <c r="I877" s="116" t="s">
        <v>515</v>
      </c>
      <c r="J877" s="116" t="str">
        <f>VLOOKUP(I877,Presupuesto!$B$11:$C$565,2,0)</f>
        <v>AGUINALDO Y DECIMO CUARTO MES</v>
      </c>
      <c r="K877" s="98" t="str">
        <f t="shared" si="26"/>
        <v>Desarrollo del Sistema de Educación Superior</v>
      </c>
      <c r="L877" s="98" t="s">
        <v>394</v>
      </c>
    </row>
    <row r="878" spans="3:12" ht="15.75" thickBot="1" x14ac:dyDescent="0.3">
      <c r="C878" s="172" t="s">
        <v>59</v>
      </c>
      <c r="D878" s="163"/>
      <c r="E878" s="154">
        <v>0</v>
      </c>
      <c r="F878" s="117">
        <f>IF(E876&lt;6,"",((E876-6)/12)*(G876/E876))</f>
        <v>0</v>
      </c>
      <c r="G878" s="97">
        <f>F878</f>
        <v>0</v>
      </c>
      <c r="H878" s="164"/>
      <c r="I878" s="101" t="s">
        <v>518</v>
      </c>
      <c r="J878" s="101" t="str">
        <f>VLOOKUP(I878,Presupuesto!$B$11:$C$565,2,0)</f>
        <v>DECIMOCUARTO MES</v>
      </c>
      <c r="K878" s="98" t="str">
        <f t="shared" si="26"/>
        <v>Desarrollo del Sistema de Educación Superior</v>
      </c>
      <c r="L878" s="98" t="s">
        <v>394</v>
      </c>
    </row>
    <row r="879" spans="3:12" ht="15.75" thickBot="1" x14ac:dyDescent="0.3">
      <c r="C879" s="137" t="s">
        <v>485</v>
      </c>
      <c r="D879" s="199"/>
      <c r="E879" s="152">
        <v>12</v>
      </c>
      <c r="F879" s="303">
        <f>HLOOKUP($C879,$BZ$2:$CM$3,2,0)</f>
        <v>29777.99</v>
      </c>
      <c r="G879" s="113">
        <f>D879*E879*F879</f>
        <v>0</v>
      </c>
      <c r="H879" s="166"/>
      <c r="I879" s="114" t="s">
        <v>495</v>
      </c>
      <c r="J879" s="114" t="str">
        <f>VLOOKUP(I879,Presupuesto!$B$11:$C$565,2,0)</f>
        <v>SUELDOS Y SALARIOS PERMANENTES</v>
      </c>
      <c r="K879" s="98" t="str">
        <f t="shared" si="26"/>
        <v>Desarrollo del Sistema de Educación Superior</v>
      </c>
      <c r="L879" s="98" t="s">
        <v>394</v>
      </c>
    </row>
    <row r="880" spans="3:12" x14ac:dyDescent="0.25">
      <c r="C880" s="171" t="s">
        <v>58</v>
      </c>
      <c r="D880" s="163"/>
      <c r="E880" s="154">
        <v>0</v>
      </c>
      <c r="F880" s="100">
        <f>IF(E879=0,"",(G879/E879)/12*E879)</f>
        <v>0</v>
      </c>
      <c r="G880" s="97">
        <f>F880</f>
        <v>0</v>
      </c>
      <c r="H880" s="164"/>
      <c r="I880" s="116" t="s">
        <v>515</v>
      </c>
      <c r="J880" s="116" t="str">
        <f>VLOOKUP(I880,Presupuesto!$B$11:$C$565,2,0)</f>
        <v>AGUINALDO Y DECIMO CUARTO MES</v>
      </c>
      <c r="K880" s="98" t="str">
        <f t="shared" si="26"/>
        <v>Desarrollo del Sistema de Educación Superior</v>
      </c>
      <c r="L880" s="98" t="s">
        <v>394</v>
      </c>
    </row>
    <row r="881" spans="3:12" ht="15.75" thickBot="1" x14ac:dyDescent="0.3">
      <c r="C881" s="172" t="s">
        <v>59</v>
      </c>
      <c r="D881" s="163"/>
      <c r="E881" s="154">
        <v>0</v>
      </c>
      <c r="F881" s="117">
        <f>IF(E879&lt;6,"",((E879-6)/12)*(G879/E879))</f>
        <v>0</v>
      </c>
      <c r="G881" s="97">
        <f>F881</f>
        <v>0</v>
      </c>
      <c r="H881" s="164"/>
      <c r="I881" s="101" t="s">
        <v>518</v>
      </c>
      <c r="J881" s="101" t="str">
        <f>VLOOKUP(I881,Presupuesto!$B$11:$C$565,2,0)</f>
        <v>DECIMOCUARTO MES</v>
      </c>
      <c r="K881" s="98" t="str">
        <f t="shared" si="26"/>
        <v>Desarrollo del Sistema de Educación Superior</v>
      </c>
      <c r="L881" s="98" t="s">
        <v>394</v>
      </c>
    </row>
    <row r="882" spans="3:12" ht="15.75" thickBot="1" x14ac:dyDescent="0.3">
      <c r="C882" s="137" t="s">
        <v>486</v>
      </c>
      <c r="D882" s="199"/>
      <c r="E882" s="152">
        <v>12</v>
      </c>
      <c r="F882" s="303">
        <f>HLOOKUP($C882,$BZ$2:$CM$3,2,0)</f>
        <v>27792.79</v>
      </c>
      <c r="G882" s="113">
        <f>D882*E882*F882</f>
        <v>0</v>
      </c>
      <c r="H882" s="166"/>
      <c r="I882" s="114" t="s">
        <v>495</v>
      </c>
      <c r="J882" s="114" t="str">
        <f>VLOOKUP(I882,Presupuesto!$B$11:$C$565,2,0)</f>
        <v>SUELDOS Y SALARIOS PERMANENTES</v>
      </c>
      <c r="K882" s="98" t="str">
        <f t="shared" si="26"/>
        <v>Desarrollo del Sistema de Educación Superior</v>
      </c>
      <c r="L882" s="98" t="s">
        <v>394</v>
      </c>
    </row>
    <row r="883" spans="3:12" x14ac:dyDescent="0.25">
      <c r="C883" s="171" t="s">
        <v>58</v>
      </c>
      <c r="D883" s="163"/>
      <c r="E883" s="154">
        <v>0</v>
      </c>
      <c r="F883" s="100">
        <f>IF(E882=0,"",(G882/E882)/12*E882)</f>
        <v>0</v>
      </c>
      <c r="G883" s="97">
        <f>F883</f>
        <v>0</v>
      </c>
      <c r="H883" s="164"/>
      <c r="I883" s="116" t="s">
        <v>515</v>
      </c>
      <c r="J883" s="116" t="str">
        <f>VLOOKUP(I883,Presupuesto!$B$11:$C$565,2,0)</f>
        <v>AGUINALDO Y DECIMO CUARTO MES</v>
      </c>
      <c r="K883" s="98" t="str">
        <f t="shared" si="26"/>
        <v>Desarrollo del Sistema de Educación Superior</v>
      </c>
      <c r="L883" s="98" t="s">
        <v>394</v>
      </c>
    </row>
    <row r="884" spans="3:12" ht="15.75" thickBot="1" x14ac:dyDescent="0.3">
      <c r="C884" s="172" t="s">
        <v>59</v>
      </c>
      <c r="D884" s="163"/>
      <c r="E884" s="154">
        <v>0</v>
      </c>
      <c r="F884" s="117">
        <f>IF(E882&lt;6,"",((E882-6)/12)*(G882/E882))</f>
        <v>0</v>
      </c>
      <c r="G884" s="97">
        <f>F884</f>
        <v>0</v>
      </c>
      <c r="H884" s="164"/>
      <c r="I884" s="101" t="s">
        <v>518</v>
      </c>
      <c r="J884" s="101" t="str">
        <f>VLOOKUP(I884,Presupuesto!$B$11:$C$565,2,0)</f>
        <v>DECIMOCUARTO MES</v>
      </c>
      <c r="K884" s="98" t="str">
        <f t="shared" si="26"/>
        <v>Desarrollo del Sistema de Educación Superior</v>
      </c>
      <c r="L884" s="98" t="s">
        <v>394</v>
      </c>
    </row>
    <row r="885" spans="3:12" ht="15.75" thickBot="1" x14ac:dyDescent="0.3">
      <c r="C885" s="137" t="s">
        <v>487</v>
      </c>
      <c r="D885" s="199"/>
      <c r="E885" s="152">
        <v>12</v>
      </c>
      <c r="F885" s="303">
        <f>HLOOKUP($C885,$BZ$2:$CM$3,2,0)</f>
        <v>18859.39</v>
      </c>
      <c r="G885" s="113">
        <f>D885*E885*F885</f>
        <v>0</v>
      </c>
      <c r="H885" s="166"/>
      <c r="I885" s="114" t="s">
        <v>495</v>
      </c>
      <c r="J885" s="114" t="str">
        <f>VLOOKUP(I885,Presupuesto!$B$11:$C$565,2,0)</f>
        <v>SUELDOS Y SALARIOS PERMANENTES</v>
      </c>
      <c r="K885" s="98" t="str">
        <f t="shared" si="26"/>
        <v>Desarrollo del Sistema de Educación Superior</v>
      </c>
      <c r="L885" s="98" t="s">
        <v>394</v>
      </c>
    </row>
    <row r="886" spans="3:12" x14ac:dyDescent="0.25">
      <c r="C886" s="171" t="s">
        <v>58</v>
      </c>
      <c r="D886" s="163"/>
      <c r="E886" s="154">
        <v>0</v>
      </c>
      <c r="F886" s="100">
        <f>IF(E885=0,"",(G885/E885)/12*E885)</f>
        <v>0</v>
      </c>
      <c r="G886" s="97">
        <f>F886</f>
        <v>0</v>
      </c>
      <c r="H886" s="164"/>
      <c r="I886" s="116" t="s">
        <v>515</v>
      </c>
      <c r="J886" s="116" t="str">
        <f>VLOOKUP(I886,Presupuesto!$B$11:$C$565,2,0)</f>
        <v>AGUINALDO Y DECIMO CUARTO MES</v>
      </c>
      <c r="K886" s="98" t="str">
        <f t="shared" si="26"/>
        <v>Desarrollo del Sistema de Educación Superior</v>
      </c>
      <c r="L886" s="98" t="s">
        <v>394</v>
      </c>
    </row>
    <row r="887" spans="3:12" ht="15.75" thickBot="1" x14ac:dyDescent="0.3">
      <c r="C887" s="172" t="s">
        <v>59</v>
      </c>
      <c r="D887" s="163"/>
      <c r="E887" s="154">
        <v>0</v>
      </c>
      <c r="F887" s="117">
        <f>IF(E885&lt;6,"",((E885-6)/12)*(G885/E885))</f>
        <v>0</v>
      </c>
      <c r="G887" s="97">
        <f>F887</f>
        <v>0</v>
      </c>
      <c r="H887" s="164"/>
      <c r="I887" s="101" t="s">
        <v>518</v>
      </c>
      <c r="J887" s="101" t="str">
        <f>VLOOKUP(I887,Presupuesto!$B$11:$C$565,2,0)</f>
        <v>DECIMOCUARTO MES</v>
      </c>
      <c r="K887" s="98" t="str">
        <f t="shared" si="26"/>
        <v>Desarrollo del Sistema de Educación Superior</v>
      </c>
      <c r="L887" s="98" t="s">
        <v>394</v>
      </c>
    </row>
    <row r="888" spans="3:12" ht="15.75" thickBot="1" x14ac:dyDescent="0.3">
      <c r="C888" s="137" t="s">
        <v>488</v>
      </c>
      <c r="D888" s="199"/>
      <c r="E888" s="152">
        <v>12</v>
      </c>
      <c r="F888" s="303">
        <f>HLOOKUP($C888,$BZ$2:$CM$3,2,0)</f>
        <v>17866.8</v>
      </c>
      <c r="G888" s="113">
        <f>D888*E888*F888</f>
        <v>0</v>
      </c>
      <c r="H888" s="166"/>
      <c r="I888" s="114" t="s">
        <v>495</v>
      </c>
      <c r="J888" s="114" t="str">
        <f>VLOOKUP(I888,Presupuesto!$B$11:$C$565,2,0)</f>
        <v>SUELDOS Y SALARIOS PERMANENTES</v>
      </c>
      <c r="K888" s="98" t="str">
        <f t="shared" si="26"/>
        <v>Desarrollo del Sistema de Educación Superior</v>
      </c>
      <c r="L888" s="98" t="s">
        <v>394</v>
      </c>
    </row>
    <row r="889" spans="3:12" x14ac:dyDescent="0.25">
      <c r="C889" s="171" t="s">
        <v>58</v>
      </c>
      <c r="D889" s="163"/>
      <c r="E889" s="154">
        <v>0</v>
      </c>
      <c r="F889" s="100">
        <f>IF(E888=0,"",(G888/E888)/12*E888)</f>
        <v>0</v>
      </c>
      <c r="G889" s="97">
        <f>F889</f>
        <v>0</v>
      </c>
      <c r="H889" s="164"/>
      <c r="I889" s="116" t="s">
        <v>515</v>
      </c>
      <c r="J889" s="116" t="str">
        <f>VLOOKUP(I889,Presupuesto!$B$11:$C$565,2,0)</f>
        <v>AGUINALDO Y DECIMO CUARTO MES</v>
      </c>
      <c r="K889" s="98" t="str">
        <f t="shared" si="26"/>
        <v>Desarrollo del Sistema de Educación Superior</v>
      </c>
      <c r="L889" s="98" t="s">
        <v>394</v>
      </c>
    </row>
    <row r="890" spans="3:12" ht="15.75" thickBot="1" x14ac:dyDescent="0.3">
      <c r="C890" s="172" t="s">
        <v>59</v>
      </c>
      <c r="D890" s="163"/>
      <c r="E890" s="154">
        <v>0</v>
      </c>
      <c r="F890" s="117">
        <f>IF(E888&lt;6,"",((E888-6)/12)*(G888/E888))</f>
        <v>0</v>
      </c>
      <c r="G890" s="97">
        <f>F890</f>
        <v>0</v>
      </c>
      <c r="H890" s="164"/>
      <c r="I890" s="101" t="s">
        <v>518</v>
      </c>
      <c r="J890" s="101" t="str">
        <f>VLOOKUP(I890,Presupuesto!$B$11:$C$565,2,0)</f>
        <v>DECIMOCUARTO MES</v>
      </c>
      <c r="K890" s="98" t="str">
        <f t="shared" si="26"/>
        <v>Desarrollo del Sistema de Educación Superior</v>
      </c>
      <c r="L890" s="98" t="s">
        <v>394</v>
      </c>
    </row>
    <row r="891" spans="3:12" ht="15.75" thickBot="1" x14ac:dyDescent="0.3">
      <c r="C891" s="137" t="s">
        <v>489</v>
      </c>
      <c r="D891" s="199"/>
      <c r="E891" s="152">
        <v>12</v>
      </c>
      <c r="F891" s="303">
        <f>HLOOKUP($C891,$BZ$2:$CM$3,2,0)</f>
        <v>13896.4</v>
      </c>
      <c r="G891" s="113">
        <f>D891*E891*F891</f>
        <v>0</v>
      </c>
      <c r="H891" s="166"/>
      <c r="I891" s="114" t="s">
        <v>495</v>
      </c>
      <c r="J891" s="114" t="str">
        <f>VLOOKUP(I891,Presupuesto!$B$11:$C$565,2,0)</f>
        <v>SUELDOS Y SALARIOS PERMANENTES</v>
      </c>
      <c r="K891" s="98" t="str">
        <f t="shared" si="26"/>
        <v>Desarrollo del Sistema de Educación Superior</v>
      </c>
      <c r="L891" s="98" t="s">
        <v>394</v>
      </c>
    </row>
    <row r="892" spans="3:12" x14ac:dyDescent="0.25">
      <c r="C892" s="171" t="s">
        <v>58</v>
      </c>
      <c r="D892" s="163"/>
      <c r="E892" s="154">
        <v>0</v>
      </c>
      <c r="F892" s="100">
        <f>IF(E891=0,"",(G891/E891)/12*E891)</f>
        <v>0</v>
      </c>
      <c r="G892" s="97">
        <f>F892</f>
        <v>0</v>
      </c>
      <c r="H892" s="164"/>
      <c r="I892" s="116" t="s">
        <v>515</v>
      </c>
      <c r="J892" s="116" t="str">
        <f>VLOOKUP(I892,Presupuesto!$B$11:$C$565,2,0)</f>
        <v>AGUINALDO Y DECIMO CUARTO MES</v>
      </c>
      <c r="K892" s="98" t="str">
        <f t="shared" si="26"/>
        <v>Desarrollo del Sistema de Educación Superior</v>
      </c>
      <c r="L892" s="98" t="s">
        <v>394</v>
      </c>
    </row>
    <row r="893" spans="3:12" ht="15.75" thickBot="1" x14ac:dyDescent="0.3">
      <c r="C893" s="172" t="s">
        <v>59</v>
      </c>
      <c r="D893" s="163"/>
      <c r="E893" s="154">
        <v>0</v>
      </c>
      <c r="F893" s="117">
        <f>IF(E891&lt;6,"",((E891-6)/12)*(G891/E891))</f>
        <v>0</v>
      </c>
      <c r="G893" s="97">
        <f>F893</f>
        <v>0</v>
      </c>
      <c r="H893" s="164"/>
      <c r="I893" s="101" t="s">
        <v>518</v>
      </c>
      <c r="J893" s="101" t="str">
        <f>VLOOKUP(I893,Presupuesto!$B$11:$C$565,2,0)</f>
        <v>DECIMOCUARTO MES</v>
      </c>
      <c r="K893" s="98" t="str">
        <f t="shared" si="26"/>
        <v>Desarrollo del Sistema de Educación Superior</v>
      </c>
      <c r="L893" s="98" t="s">
        <v>394</v>
      </c>
    </row>
    <row r="894" spans="3:12" ht="15.75" thickBot="1" x14ac:dyDescent="0.3">
      <c r="C894" s="137" t="s">
        <v>490</v>
      </c>
      <c r="D894" s="199"/>
      <c r="E894" s="152">
        <v>12</v>
      </c>
      <c r="F894" s="303">
        <f>HLOOKUP($C894,$BZ$2:$CM$3,2,0)</f>
        <v>15004.09</v>
      </c>
      <c r="G894" s="113">
        <f>D894*E894*F894</f>
        <v>0</v>
      </c>
      <c r="H894" s="166"/>
      <c r="I894" s="114" t="s">
        <v>495</v>
      </c>
      <c r="J894" s="114" t="str">
        <f>VLOOKUP(I894,Presupuesto!$B$11:$C$565,2,0)</f>
        <v>SUELDOS Y SALARIOS PERMANENTES</v>
      </c>
      <c r="K894" s="98" t="str">
        <f t="shared" si="26"/>
        <v>Desarrollo del Sistema de Educación Superior</v>
      </c>
      <c r="L894" s="98" t="s">
        <v>394</v>
      </c>
    </row>
    <row r="895" spans="3:12" x14ac:dyDescent="0.25">
      <c r="C895" s="171" t="s">
        <v>58</v>
      </c>
      <c r="D895" s="163"/>
      <c r="E895" s="154">
        <v>0</v>
      </c>
      <c r="F895" s="100">
        <f>IF(E894=0,"",(G894/E894)/12*E894)</f>
        <v>0</v>
      </c>
      <c r="G895" s="97">
        <f>F895</f>
        <v>0</v>
      </c>
      <c r="H895" s="164"/>
      <c r="I895" s="116" t="s">
        <v>515</v>
      </c>
      <c r="J895" s="116" t="str">
        <f>VLOOKUP(I895,Presupuesto!$B$11:$C$565,2,0)</f>
        <v>AGUINALDO Y DECIMO CUARTO MES</v>
      </c>
      <c r="K895" s="98" t="str">
        <f t="shared" si="26"/>
        <v>Desarrollo del Sistema de Educación Superior</v>
      </c>
      <c r="L895" s="98" t="s">
        <v>394</v>
      </c>
    </row>
    <row r="896" spans="3:12" ht="15.75" thickBot="1" x14ac:dyDescent="0.3">
      <c r="C896" s="172" t="s">
        <v>59</v>
      </c>
      <c r="D896" s="163"/>
      <c r="E896" s="154">
        <v>0</v>
      </c>
      <c r="F896" s="117">
        <f>IF(E894&lt;6,"",((E894-6)/12)*(G894/E894))</f>
        <v>0</v>
      </c>
      <c r="G896" s="97">
        <f>F896</f>
        <v>0</v>
      </c>
      <c r="H896" s="164"/>
      <c r="I896" s="101" t="s">
        <v>518</v>
      </c>
      <c r="J896" s="101" t="str">
        <f>VLOOKUP(I896,Presupuesto!$B$11:$C$565,2,0)</f>
        <v>DECIMOCUARTO MES</v>
      </c>
      <c r="K896" s="98" t="str">
        <f t="shared" si="26"/>
        <v>Desarrollo del Sistema de Educación Superior</v>
      </c>
      <c r="L896" s="98" t="s">
        <v>394</v>
      </c>
    </row>
    <row r="897" spans="3:12" ht="15.75" thickBot="1" x14ac:dyDescent="0.3">
      <c r="C897" s="137" t="s">
        <v>491</v>
      </c>
      <c r="D897" s="199"/>
      <c r="E897" s="152">
        <v>12</v>
      </c>
      <c r="F897" s="303">
        <f>HLOOKUP($C897,$BZ$2:$CM$3,2,0)</f>
        <v>13238.9</v>
      </c>
      <c r="G897" s="113">
        <f>D897*E897*F897</f>
        <v>0</v>
      </c>
      <c r="H897" s="166"/>
      <c r="I897" s="114" t="s">
        <v>495</v>
      </c>
      <c r="J897" s="114" t="str">
        <f>VLOOKUP(I897,Presupuesto!$B$11:$C$565,2,0)</f>
        <v>SUELDOS Y SALARIOS PERMANENTES</v>
      </c>
      <c r="K897" s="98" t="str">
        <f t="shared" si="26"/>
        <v>Desarrollo del Sistema de Educación Superior</v>
      </c>
      <c r="L897" s="98" t="s">
        <v>394</v>
      </c>
    </row>
    <row r="898" spans="3:12" x14ac:dyDescent="0.25">
      <c r="C898" s="171" t="s">
        <v>58</v>
      </c>
      <c r="D898" s="163"/>
      <c r="E898" s="154">
        <v>0</v>
      </c>
      <c r="F898" s="100">
        <f>IF(E897=0,"",(G897/E897)/12*E897)</f>
        <v>0</v>
      </c>
      <c r="G898" s="97">
        <f>F898</f>
        <v>0</v>
      </c>
      <c r="H898" s="164"/>
      <c r="I898" s="116" t="s">
        <v>515</v>
      </c>
      <c r="J898" s="116" t="str">
        <f>VLOOKUP(I898,Presupuesto!$B$11:$C$565,2,0)</f>
        <v>AGUINALDO Y DECIMO CUARTO MES</v>
      </c>
      <c r="K898" s="98" t="str">
        <f t="shared" si="26"/>
        <v>Desarrollo del Sistema de Educación Superior</v>
      </c>
      <c r="L898" s="98" t="s">
        <v>394</v>
      </c>
    </row>
    <row r="899" spans="3:12" ht="15.75" thickBot="1" x14ac:dyDescent="0.3">
      <c r="C899" s="172" t="s">
        <v>59</v>
      </c>
      <c r="D899" s="163"/>
      <c r="E899" s="154">
        <v>0</v>
      </c>
      <c r="F899" s="117">
        <f>IF(E897&lt;6,"",((E897-6)/12)*(G897/E897))</f>
        <v>0</v>
      </c>
      <c r="G899" s="97">
        <f>F899</f>
        <v>0</v>
      </c>
      <c r="H899" s="164"/>
      <c r="I899" s="101" t="s">
        <v>518</v>
      </c>
      <c r="J899" s="101" t="str">
        <f>VLOOKUP(I899,Presupuesto!$B$11:$C$565,2,0)</f>
        <v>DECIMOCUARTO MES</v>
      </c>
      <c r="K899" s="98" t="str">
        <f t="shared" si="26"/>
        <v>Desarrollo del Sistema de Educación Superior</v>
      </c>
      <c r="L899" s="98" t="s">
        <v>394</v>
      </c>
    </row>
    <row r="900" spans="3:12" ht="15.75" thickBot="1" x14ac:dyDescent="0.3">
      <c r="C900" s="137" t="s">
        <v>492</v>
      </c>
      <c r="D900" s="199"/>
      <c r="E900" s="152">
        <v>12</v>
      </c>
      <c r="F900" s="303">
        <f>HLOOKUP($C900,$BZ$2:$CM$3,2,0)</f>
        <v>12356.31</v>
      </c>
      <c r="G900" s="113">
        <f>D900*E900*F900</f>
        <v>0</v>
      </c>
      <c r="H900" s="166"/>
      <c r="I900" s="114" t="s">
        <v>495</v>
      </c>
      <c r="J900" s="114" t="str">
        <f>VLOOKUP(I900,Presupuesto!$B$11:$C$565,2,0)</f>
        <v>SUELDOS Y SALARIOS PERMANENTES</v>
      </c>
      <c r="K900" s="98" t="str">
        <f t="shared" ref="K900:K917" si="27">$K$867</f>
        <v>Desarrollo del Sistema de Educación Superior</v>
      </c>
      <c r="L900" s="98" t="s">
        <v>394</v>
      </c>
    </row>
    <row r="901" spans="3:12" x14ac:dyDescent="0.25">
      <c r="C901" s="171" t="s">
        <v>58</v>
      </c>
      <c r="D901" s="163"/>
      <c r="E901" s="154">
        <v>0</v>
      </c>
      <c r="F901" s="100">
        <f>IF(E900=0,"",(G900/E900)/12*E900)</f>
        <v>0</v>
      </c>
      <c r="G901" s="97">
        <f>F901</f>
        <v>0</v>
      </c>
      <c r="H901" s="164"/>
      <c r="I901" s="116" t="s">
        <v>515</v>
      </c>
      <c r="J901" s="116" t="str">
        <f>VLOOKUP(I901,Presupuesto!$B$11:$C$565,2,0)</f>
        <v>AGUINALDO Y DECIMO CUARTO MES</v>
      </c>
      <c r="K901" s="98" t="str">
        <f t="shared" si="27"/>
        <v>Desarrollo del Sistema de Educación Superior</v>
      </c>
      <c r="L901" s="98" t="s">
        <v>394</v>
      </c>
    </row>
    <row r="902" spans="3:12" ht="15.75" thickBot="1" x14ac:dyDescent="0.3">
      <c r="C902" s="172" t="s">
        <v>59</v>
      </c>
      <c r="D902" s="163"/>
      <c r="E902" s="154">
        <v>0</v>
      </c>
      <c r="F902" s="117">
        <f>IF(E900&lt;6,"",((E900-6)/12)*(G900/E900))</f>
        <v>0</v>
      </c>
      <c r="G902" s="97">
        <f>F902</f>
        <v>0</v>
      </c>
      <c r="H902" s="164"/>
      <c r="I902" s="101" t="s">
        <v>518</v>
      </c>
      <c r="J902" s="101" t="str">
        <f>VLOOKUP(I902,Presupuesto!$B$11:$C$565,2,0)</f>
        <v>DECIMOCUARTO MES</v>
      </c>
      <c r="K902" s="98" t="str">
        <f t="shared" si="27"/>
        <v>Desarrollo del Sistema de Educación Superior</v>
      </c>
      <c r="L902" s="98" t="s">
        <v>394</v>
      </c>
    </row>
    <row r="903" spans="3:12" ht="15.75" thickBot="1" x14ac:dyDescent="0.3">
      <c r="C903" s="137" t="s">
        <v>493</v>
      </c>
      <c r="D903" s="199"/>
      <c r="E903" s="152">
        <v>12</v>
      </c>
      <c r="F903" s="303">
        <f>HLOOKUP($C903,$BZ$2:$CM$3,2,0)</f>
        <v>463.22</v>
      </c>
      <c r="G903" s="113">
        <f>D903*E903*F903</f>
        <v>0</v>
      </c>
      <c r="H903" s="166"/>
      <c r="I903" s="114" t="s">
        <v>495</v>
      </c>
      <c r="J903" s="114" t="str">
        <f>VLOOKUP(I903,Presupuesto!$B$11:$C$565,2,0)</f>
        <v>SUELDOS Y SALARIOS PERMANENTES</v>
      </c>
      <c r="K903" s="98" t="str">
        <f t="shared" si="27"/>
        <v>Desarrollo del Sistema de Educación Superior</v>
      </c>
      <c r="L903" s="98" t="s">
        <v>394</v>
      </c>
    </row>
    <row r="904" spans="3:12" x14ac:dyDescent="0.25">
      <c r="C904" s="171" t="s">
        <v>58</v>
      </c>
      <c r="D904" s="163"/>
      <c r="E904" s="154">
        <v>0</v>
      </c>
      <c r="F904" s="100">
        <f>IF(E903=0,"",(G903/E903)/12*E903)</f>
        <v>0</v>
      </c>
      <c r="G904" s="97">
        <f>F904</f>
        <v>0</v>
      </c>
      <c r="H904" s="164"/>
      <c r="I904" s="116" t="s">
        <v>515</v>
      </c>
      <c r="J904" s="116" t="str">
        <f>VLOOKUP(I904,Presupuesto!$B$11:$C$565,2,0)</f>
        <v>AGUINALDO Y DECIMO CUARTO MES</v>
      </c>
      <c r="K904" s="98" t="str">
        <f t="shared" si="27"/>
        <v>Desarrollo del Sistema de Educación Superior</v>
      </c>
      <c r="L904" s="98" t="s">
        <v>394</v>
      </c>
    </row>
    <row r="905" spans="3:12" ht="15.75" thickBot="1" x14ac:dyDescent="0.3">
      <c r="C905" s="172" t="s">
        <v>59</v>
      </c>
      <c r="D905" s="163"/>
      <c r="E905" s="154">
        <v>0</v>
      </c>
      <c r="F905" s="117">
        <f>IF(E903&lt;6,"",((E903-6)/12)*(G903/E903))</f>
        <v>0</v>
      </c>
      <c r="G905" s="97">
        <f>F905</f>
        <v>0</v>
      </c>
      <c r="H905" s="164"/>
      <c r="I905" s="101" t="s">
        <v>518</v>
      </c>
      <c r="J905" s="101" t="str">
        <f>VLOOKUP(I905,Presupuesto!$B$11:$C$565,2,0)</f>
        <v>DECIMOCUARTO MES</v>
      </c>
      <c r="K905" s="98" t="str">
        <f t="shared" si="27"/>
        <v>Desarrollo del Sistema de Educación Superior</v>
      </c>
      <c r="L905" s="98" t="s">
        <v>394</v>
      </c>
    </row>
    <row r="906" spans="3:12" ht="15.75" thickBot="1" x14ac:dyDescent="0.3">
      <c r="C906" s="137" t="s">
        <v>494</v>
      </c>
      <c r="D906" s="199"/>
      <c r="E906" s="152">
        <v>12</v>
      </c>
      <c r="F906" s="303">
        <f>HLOOKUP($C906,$BZ$2:$CM$3,2,0)</f>
        <v>2007.3</v>
      </c>
      <c r="G906" s="113">
        <f>D906*E906*F906</f>
        <v>0</v>
      </c>
      <c r="H906" s="166"/>
      <c r="I906" s="114" t="s">
        <v>495</v>
      </c>
      <c r="J906" s="114" t="str">
        <f>VLOOKUP(I906,Presupuesto!$B$11:$C$565,2,0)</f>
        <v>SUELDOS Y SALARIOS PERMANENTES</v>
      </c>
      <c r="K906" s="98" t="str">
        <f t="shared" si="27"/>
        <v>Desarrollo del Sistema de Educación Superior</v>
      </c>
      <c r="L906" s="98" t="s">
        <v>394</v>
      </c>
    </row>
    <row r="907" spans="3:12" x14ac:dyDescent="0.25">
      <c r="C907" s="171" t="s">
        <v>58</v>
      </c>
      <c r="D907" s="163"/>
      <c r="E907" s="154">
        <v>0</v>
      </c>
      <c r="F907" s="100">
        <f>IF(E906=0,"",(G906/E906)/12*E906)</f>
        <v>0</v>
      </c>
      <c r="G907" s="97">
        <f>F907</f>
        <v>0</v>
      </c>
      <c r="H907" s="164"/>
      <c r="I907" s="116" t="s">
        <v>515</v>
      </c>
      <c r="J907" s="116" t="str">
        <f>VLOOKUP(I907,Presupuesto!$B$11:$C$565,2,0)</f>
        <v>AGUINALDO Y DECIMO CUARTO MES</v>
      </c>
      <c r="K907" s="98" t="str">
        <f t="shared" si="27"/>
        <v>Desarrollo del Sistema de Educación Superior</v>
      </c>
      <c r="L907" s="98" t="s">
        <v>394</v>
      </c>
    </row>
    <row r="908" spans="3:12" ht="15.75" thickBot="1" x14ac:dyDescent="0.3">
      <c r="C908" s="172" t="s">
        <v>59</v>
      </c>
      <c r="D908" s="163"/>
      <c r="E908" s="154">
        <v>0</v>
      </c>
      <c r="F908" s="117">
        <f>IF(E906&lt;6,"",((E906-6)/12)*(G906/E906))</f>
        <v>0</v>
      </c>
      <c r="G908" s="97">
        <f>F908</f>
        <v>0</v>
      </c>
      <c r="H908" s="164"/>
      <c r="I908" s="101" t="s">
        <v>518</v>
      </c>
      <c r="J908" s="101" t="str">
        <f>VLOOKUP(I908,Presupuesto!$B$11:$C$565,2,0)</f>
        <v>DECIMOCUARTO MES</v>
      </c>
      <c r="K908" s="98" t="str">
        <f t="shared" si="27"/>
        <v>Desarrollo del Sistema de Educación Superior</v>
      </c>
      <c r="L908" s="98" t="s">
        <v>394</v>
      </c>
    </row>
    <row r="909" spans="3:12" ht="15.75" thickBot="1" x14ac:dyDescent="0.3">
      <c r="C909" s="140" t="s">
        <v>83</v>
      </c>
      <c r="D909" s="199"/>
      <c r="E909" s="152">
        <v>12</v>
      </c>
      <c r="F909" s="139">
        <v>30000</v>
      </c>
      <c r="G909" s="113">
        <f>D909*E909*F909</f>
        <v>0</v>
      </c>
      <c r="H909" s="166"/>
      <c r="I909" s="114" t="s">
        <v>563</v>
      </c>
      <c r="J909" s="114" t="str">
        <f>VLOOKUP(I909,Presupuesto!$B$11:$C$565,2,0)</f>
        <v>CONTRATOS ESPECIALES</v>
      </c>
      <c r="K909" s="98" t="str">
        <f t="shared" si="27"/>
        <v>Desarrollo del Sistema de Educación Superior</v>
      </c>
      <c r="L909" s="98" t="s">
        <v>394</v>
      </c>
    </row>
    <row r="910" spans="3:12" x14ac:dyDescent="0.25">
      <c r="C910" s="171" t="s">
        <v>58</v>
      </c>
      <c r="D910" s="163"/>
      <c r="E910" s="154">
        <v>0</v>
      </c>
      <c r="F910" s="117">
        <f>IF(E909=0,"",(G909/E909)/12*E909)</f>
        <v>0</v>
      </c>
      <c r="G910" s="97">
        <f>F910</f>
        <v>0</v>
      </c>
      <c r="H910" s="164"/>
      <c r="I910" s="101" t="s">
        <v>563</v>
      </c>
      <c r="J910" s="101" t="str">
        <f>VLOOKUP(I910,Presupuesto!$B$11:$C$565,2,0)</f>
        <v>CONTRATOS ESPECIALES</v>
      </c>
      <c r="K910" s="98" t="str">
        <f t="shared" si="27"/>
        <v>Desarrollo del Sistema de Educación Superior</v>
      </c>
      <c r="L910" s="98" t="s">
        <v>393</v>
      </c>
    </row>
    <row r="911" spans="3:12" ht="15.75" thickBot="1" x14ac:dyDescent="0.3">
      <c r="C911" s="172" t="s">
        <v>59</v>
      </c>
      <c r="D911" s="163"/>
      <c r="E911" s="154">
        <v>0</v>
      </c>
      <c r="F911" s="100">
        <f>IF(E909&lt;6,"",((E909-6)/12)*(G909/E909))</f>
        <v>0</v>
      </c>
      <c r="G911" s="97">
        <f>F911</f>
        <v>0</v>
      </c>
      <c r="H911" s="164"/>
      <c r="I911" s="101" t="s">
        <v>563</v>
      </c>
      <c r="J911" s="101" t="str">
        <f>VLOOKUP(I911,Presupuesto!$B$11:$C$565,2,0)</f>
        <v>CONTRATOS ESPECIALES</v>
      </c>
      <c r="K911" s="98" t="str">
        <f t="shared" si="27"/>
        <v>Desarrollo del Sistema de Educación Superior</v>
      </c>
      <c r="L911" s="98" t="s">
        <v>398</v>
      </c>
    </row>
    <row r="912" spans="3:12" ht="15.75" thickBot="1" x14ac:dyDescent="0.3">
      <c r="C912" s="140" t="s">
        <v>60</v>
      </c>
      <c r="D912" s="199"/>
      <c r="E912" s="152">
        <v>12</v>
      </c>
      <c r="F912" s="118">
        <v>30000</v>
      </c>
      <c r="G912" s="113">
        <f>D912*E912*F912</f>
        <v>0</v>
      </c>
      <c r="H912" s="166"/>
      <c r="I912" s="114" t="s">
        <v>704</v>
      </c>
      <c r="J912" s="114" t="str">
        <f>VLOOKUP(I912,Presupuesto!$B$11:$C$565,2,0)</f>
        <v>OTROS SERVICIOS TECNICOS Y PROFESIONALES</v>
      </c>
      <c r="K912" s="98" t="str">
        <f t="shared" si="27"/>
        <v>Desarrollo del Sistema de Educación Superior</v>
      </c>
      <c r="L912" s="98" t="s">
        <v>393</v>
      </c>
    </row>
    <row r="913" spans="3:12" x14ac:dyDescent="0.25">
      <c r="C913" s="171" t="s">
        <v>58</v>
      </c>
      <c r="D913" s="163"/>
      <c r="E913" s="154">
        <v>0</v>
      </c>
      <c r="F913" s="100">
        <v>0</v>
      </c>
      <c r="G913" s="97">
        <f>F913</f>
        <v>0</v>
      </c>
      <c r="H913" s="164"/>
      <c r="I913" s="101" t="s">
        <v>704</v>
      </c>
      <c r="J913" s="101" t="str">
        <f>VLOOKUP(I913,Presupuesto!$B$11:$C$565,2,0)</f>
        <v>OTROS SERVICIOS TECNICOS Y PROFESIONALES</v>
      </c>
      <c r="K913" s="98" t="str">
        <f t="shared" si="27"/>
        <v>Desarrollo del Sistema de Educación Superior</v>
      </c>
      <c r="L913" s="98" t="s">
        <v>393</v>
      </c>
    </row>
    <row r="914" spans="3:12" ht="15.75" thickBot="1" x14ac:dyDescent="0.3">
      <c r="C914" s="172" t="s">
        <v>59</v>
      </c>
      <c r="D914" s="163"/>
      <c r="E914" s="154">
        <v>0</v>
      </c>
      <c r="F914" s="100">
        <v>0</v>
      </c>
      <c r="G914" s="97">
        <f>F914</f>
        <v>0</v>
      </c>
      <c r="H914" s="164"/>
      <c r="I914" s="101" t="s">
        <v>704</v>
      </c>
      <c r="J914" s="101" t="str">
        <f>VLOOKUP(I914,Presupuesto!$B$11:$C$565,2,0)</f>
        <v>OTROS SERVICIOS TECNICOS Y PROFESIONALES</v>
      </c>
      <c r="K914" s="98" t="str">
        <f t="shared" si="27"/>
        <v>Desarrollo del Sistema de Educación Superior</v>
      </c>
      <c r="L914" s="98" t="s">
        <v>393</v>
      </c>
    </row>
    <row r="915" spans="3:12" ht="15.75" thickBot="1" x14ac:dyDescent="0.3">
      <c r="C915" s="140" t="s">
        <v>61</v>
      </c>
      <c r="D915" s="199"/>
      <c r="E915" s="152">
        <v>12</v>
      </c>
      <c r="F915" s="118">
        <v>30000</v>
      </c>
      <c r="G915" s="113">
        <f>D915*E915*F915</f>
        <v>0</v>
      </c>
      <c r="H915" s="166"/>
      <c r="I915" s="114" t="s">
        <v>495</v>
      </c>
      <c r="J915" s="114" t="str">
        <f>VLOOKUP(I915,Presupuesto!$B$11:$C$565,2,0)</f>
        <v>SUELDOS Y SALARIOS PERMANENTES</v>
      </c>
      <c r="K915" s="98" t="str">
        <f t="shared" si="27"/>
        <v>Desarrollo del Sistema de Educación Superior</v>
      </c>
      <c r="L915" s="98" t="s">
        <v>393</v>
      </c>
    </row>
    <row r="916" spans="3:12" x14ac:dyDescent="0.25">
      <c r="C916" s="171" t="s">
        <v>58</v>
      </c>
      <c r="D916" s="169"/>
      <c r="E916" s="131">
        <v>0</v>
      </c>
      <c r="F916" s="119">
        <f>IF(E915=0,"",(G915/E915)/12*E915)</f>
        <v>0</v>
      </c>
      <c r="G916" s="120">
        <f>F916</f>
        <v>0</v>
      </c>
      <c r="H916" s="164"/>
      <c r="I916" s="101" t="s">
        <v>515</v>
      </c>
      <c r="J916" s="101" t="str">
        <f>VLOOKUP(I916,Presupuesto!$B$11:$C$565,2,0)</f>
        <v>AGUINALDO Y DECIMO CUARTO MES</v>
      </c>
      <c r="K916" s="98" t="str">
        <f t="shared" si="27"/>
        <v>Desarrollo del Sistema de Educación Superior</v>
      </c>
      <c r="L916" s="98" t="s">
        <v>393</v>
      </c>
    </row>
    <row r="917" spans="3:12" ht="15.75" thickBot="1" x14ac:dyDescent="0.3">
      <c r="C917" s="173" t="s">
        <v>59</v>
      </c>
      <c r="D917" s="162"/>
      <c r="E917" s="132">
        <v>0</v>
      </c>
      <c r="F917" s="105">
        <f>IF(E915&lt;6,"",((E915-6)/12)*(G915/E915))</f>
        <v>0</v>
      </c>
      <c r="G917" s="105">
        <f>F917</f>
        <v>0</v>
      </c>
      <c r="H917" s="162"/>
      <c r="I917" s="106" t="s">
        <v>518</v>
      </c>
      <c r="J917" s="124" t="str">
        <f>VLOOKUP(I917,Presupuesto!$B$11:$C$565,2,0)</f>
        <v>DECIMOCUARTO MES</v>
      </c>
      <c r="K917" s="106" t="str">
        <f t="shared" si="27"/>
        <v>Desarrollo del Sistema de Educación Superior</v>
      </c>
      <c r="L917" s="124" t="s">
        <v>393</v>
      </c>
    </row>
  </sheetData>
  <conditionalFormatting sqref="E17">
    <cfRule type="cellIs" dxfId="21" priority="20" operator="greaterThan">
      <formula>12</formula>
    </cfRule>
  </conditionalFormatting>
  <conditionalFormatting sqref="E906">
    <cfRule type="cellIs" dxfId="20" priority="4" operator="greaterThan">
      <formula>12</formula>
    </cfRule>
  </conditionalFormatting>
  <conditionalFormatting sqref="E72">
    <cfRule type="cellIs" dxfId="19" priority="18" operator="greaterThan">
      <formula>12</formula>
    </cfRule>
  </conditionalFormatting>
  <conditionalFormatting sqref="E126">
    <cfRule type="cellIs" dxfId="18" priority="17" operator="greaterThan">
      <formula>12</formula>
    </cfRule>
  </conditionalFormatting>
  <conditionalFormatting sqref="E186">
    <cfRule type="cellIs" dxfId="17" priority="16" operator="greaterThan">
      <formula>12</formula>
    </cfRule>
  </conditionalFormatting>
  <conditionalFormatting sqref="E246">
    <cfRule type="cellIs" dxfId="16" priority="15" operator="greaterThan">
      <formula>12</formula>
    </cfRule>
  </conditionalFormatting>
  <conditionalFormatting sqref="E306">
    <cfRule type="cellIs" dxfId="15" priority="14" operator="greaterThan">
      <formula>12</formula>
    </cfRule>
  </conditionalFormatting>
  <conditionalFormatting sqref="E366">
    <cfRule type="cellIs" dxfId="14" priority="13" operator="greaterThan">
      <formula>12</formula>
    </cfRule>
  </conditionalFormatting>
  <conditionalFormatting sqref="E426">
    <cfRule type="cellIs" dxfId="13" priority="12" operator="greaterThan">
      <formula>12</formula>
    </cfRule>
  </conditionalFormatting>
  <conditionalFormatting sqref="E486">
    <cfRule type="cellIs" dxfId="12" priority="11" operator="greaterThan">
      <formula>12</formula>
    </cfRule>
  </conditionalFormatting>
  <conditionalFormatting sqref="E546">
    <cfRule type="cellIs" dxfId="11" priority="10" operator="greaterThan">
      <formula>12</formula>
    </cfRule>
  </conditionalFormatting>
  <conditionalFormatting sqref="E606">
    <cfRule type="cellIs" dxfId="10" priority="9" operator="greaterThan">
      <formula>12</formula>
    </cfRule>
  </conditionalFormatting>
  <conditionalFormatting sqref="E666">
    <cfRule type="cellIs" dxfId="9" priority="8" operator="greaterThan">
      <formula>12</formula>
    </cfRule>
  </conditionalFormatting>
  <conditionalFormatting sqref="E726">
    <cfRule type="cellIs" dxfId="8" priority="7" operator="greaterThan">
      <formula>12</formula>
    </cfRule>
  </conditionalFormatting>
  <conditionalFormatting sqref="E786">
    <cfRule type="cellIs" dxfId="7" priority="6" operator="greaterThan">
      <formula>12</formula>
    </cfRule>
  </conditionalFormatting>
  <conditionalFormatting sqref="E846">
    <cfRule type="cellIs" dxfId="6" priority="5" operator="greaterThan">
      <formula>12</formula>
    </cfRule>
  </conditionalFormatting>
  <conditionalFormatting sqref="E29">
    <cfRule type="cellIs" dxfId="5" priority="3" operator="greaterThan">
      <formula>12</formula>
    </cfRule>
  </conditionalFormatting>
  <conditionalFormatting sqref="E41">
    <cfRule type="cellIs" dxfId="4" priority="2" operator="greaterThan">
      <formula>12</formula>
    </cfRule>
  </conditionalFormatting>
  <conditionalFormatting sqref="E53">
    <cfRule type="cellIs" dxfId="3"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87:H137 H147:H197 H207:H257 H267:H317 H327:H377 H387:H437 H447:H497 H507:H557 H567:H617 H627:H677 H687:H737 H747:H797 H807:H857 H867:H917 H17:H21 H29:H33 H41:H45 H53:H57 H66:H77">
      <formula1>$R$2:$S$2</formula1>
    </dataValidation>
    <dataValidation type="list" allowBlank="1" showInputMessage="1" showErrorMessage="1" errorTitle="¡Ingreso Inválido!" error="Seleccione una opción de la lista" promptTitle="Mes Requerido" prompt="Seleccione el mes en el que requiere el recurso." sqref="L87:L137 L147:L197 L207:L257 L267:L317 L327:L377 L387:L437 L447:L497 L507:L557 L567:L617 L627:L677 L687:L737 L747:L797 L807:L857 L867:L917 L17:L21 L29:L33 L41:L45 L53:L57 L66:L77">
      <formula1>$U$2:$AF$2</formula1>
    </dataValidation>
    <dataValidation type="list" allowBlank="1" showInputMessage="1" showErrorMessage="1" sqref="C17 C66 C69 C72 C87 C90 C93 C96 C99 C102 C105 C108 C111 C114 C117 C120 C123 C126 C147 C150 C153 C156 C159 C162 C165 C168 C171 C174 C177 C180 C183 C186 C207 C210 C213 C216 C219 C222 C225 C228 C231 C234 C237 C240 C243 C246 C267 C270 C273 C276 C279 C282 C285 C288 C291 C294 C297 C300 C303 C306 C327 C330 C333 C336 C339 C342 C345 C348 C351 C354 C357 C360 C363 C366 C387 C390 C393 C396 C399 C402 C405 C408 C411 C414 C417 C420 C423 C426 C447 C450 C453 C456 C459 C462 C465 C468 C471 C474 C477 C480 C483 C486 C507 C510 C513 C516 C519 C522 C525 C528 C531 C534 C537 C540 C543 C546 C567 C570 C573 C576 C579 C582 C585 C588 C591 C594 C597 C600 C603 C606 C627 C630 C633 C636 C639 C642 C645 C648 C651 C654 C657 C660 C663 C666 C687 C690 C693 C696 C699 C702 C705 C708 C711 C714 C717 C720 C723 C726 C747 C750 C753 C756 C759 C762 C765 C768 C771 C774 C777 C780 C783 C786 C807 C810 C813 C816 C819 C822 C825 C828 C831 C834 C837 C840 C843 C846 C867 C870 C873 C876 C879 C882 C885 C888 C891 C894 C897 C900 C903 C906 C29 C41 C53">
      <formula1>$BZ$2:$CM$2</formula1>
    </dataValidation>
    <dataValidation type="list" allowBlank="1" showInputMessage="1" showErrorMessage="1" errorTitle="¡Ingreso Inválido!" error="Verifique el valor ingresado." sqref="I87:I137 I147:I197 I207:I257 I267:I317 I327:I377 I387:I437 I447:I497 I507:I557 I567:I617 I627:I677 I687:I737 I747:I797 I807:I857 I867:I917 I17:I21 I29:I33 I41:I45 I53:I57 I66:I77">
      <formula1>$A$1:$UI$1</formula1>
    </dataValidation>
    <dataValidation type="list" allowBlank="1" showInputMessage="1" showErrorMessage="1" errorTitle="¡Ingreso Inválido!" error="Seleccione una opción de la lista." promptTitle="Dimensión Estratégica" prompt="Seleccione una opción de la lista." sqref="K88:K137 K148:K197 K208:K257 K268:K317 K328:K377 K388:K437 K448:K497 K508:K557 K568:K617 K628:K677 K688:K737 K748:K797 K808:K857 K868:K917 K17:K21 K29:K33 K41:K45 K53:K57 K66:K79">
      <formula1>$A$2:$P$2</formula1>
    </dataValidation>
    <dataValidation type="list" allowBlank="1" showInputMessage="1" showErrorMessage="1" errorTitle="¡Ingreso Inválido!" error="Seleccione una opción de la lista." promptTitle="Dimensión Estratégica" prompt="Seleccione una opción de la lista." sqref="K87 K147 K207 K267 K327 K387 K447 K507 K567 K627 K687 K747 K807 K86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73"/>
  <sheetViews>
    <sheetView showGridLines="0" topLeftCell="A4" zoomScale="84" zoomScaleNormal="84" workbookViewId="0">
      <selection activeCell="I23" sqref="I23"/>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60">
        <f>SUMIF($C:$C,$C$10,D:D)</f>
        <v>475800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SUM(F17:F20)</f>
        <v>70000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t="s">
        <v>1735</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Gestión para la adquisición  mobiliario para el departamento   archivo, 10 sillas ejecutivas, mesa de reuniones 10 personas, 10 sillas.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10</v>
      </c>
      <c r="E17" s="96">
        <v>2800</v>
      </c>
      <c r="F17" s="695">
        <f>D17*E17</f>
        <v>28000</v>
      </c>
      <c r="G17" s="161" t="s">
        <v>1691</v>
      </c>
      <c r="H17" s="98" t="s">
        <v>984</v>
      </c>
      <c r="I17" s="98" t="str">
        <f>VLOOKUP(H17,Presupuesto!$B$11:$C$565,2,0)</f>
        <v>MUEBLES VARIOS DE OFICINA</v>
      </c>
      <c r="J17" s="218" t="s">
        <v>1363</v>
      </c>
      <c r="K17" s="98" t="s">
        <v>396</v>
      </c>
    </row>
    <row r="18" spans="2:11" ht="32.25" customHeight="1" x14ac:dyDescent="0.25">
      <c r="B18" s="93"/>
      <c r="C18" s="99" t="s">
        <v>64</v>
      </c>
      <c r="D18" s="151">
        <v>10</v>
      </c>
      <c r="E18" s="100">
        <v>2400</v>
      </c>
      <c r="F18" s="695">
        <f>D18*E18</f>
        <v>24000</v>
      </c>
      <c r="G18" s="161" t="s">
        <v>1691</v>
      </c>
      <c r="H18" s="101" t="s">
        <v>984</v>
      </c>
      <c r="I18" s="98" t="str">
        <f>VLOOKUP(H18,Presupuesto!$B$11:$C$565,2,0)</f>
        <v>MUEBLES VARIOS DE OFICINA</v>
      </c>
      <c r="J18" s="98" t="str">
        <f t="shared" ref="J18:J20" si="0">$J$17</f>
        <v>Gestión Administrativa y  financiera en apoyo al Desarrollo Académico</v>
      </c>
      <c r="K18" s="98" t="s">
        <v>396</v>
      </c>
    </row>
    <row r="19" spans="2:11" x14ac:dyDescent="0.25">
      <c r="B19" s="93"/>
      <c r="C19" s="99" t="s">
        <v>68</v>
      </c>
      <c r="D19" s="151">
        <v>1</v>
      </c>
      <c r="E19" s="100">
        <v>10000</v>
      </c>
      <c r="F19" s="695">
        <f t="shared" ref="F19:F20" si="1">D19*E19</f>
        <v>10000</v>
      </c>
      <c r="G19" s="161" t="s">
        <v>1691</v>
      </c>
      <c r="H19" s="101" t="s">
        <v>984</v>
      </c>
      <c r="I19" s="98" t="str">
        <f>VLOOKUP(H19,Presupuesto!$B$11:$C$565,2,0)</f>
        <v>MUEBLES VARIOS DE OFICINA</v>
      </c>
      <c r="J19" s="98" t="str">
        <f t="shared" si="0"/>
        <v>Gestión Administrativa y  financiera en apoyo al Desarrollo Académico</v>
      </c>
      <c r="K19" s="98" t="s">
        <v>396</v>
      </c>
    </row>
    <row r="20" spans="2:11" x14ac:dyDescent="0.25">
      <c r="B20" s="93"/>
      <c r="C20" s="99" t="s">
        <v>69</v>
      </c>
      <c r="D20" s="151">
        <v>1</v>
      </c>
      <c r="E20" s="100">
        <v>8000</v>
      </c>
      <c r="F20" s="695">
        <f t="shared" si="1"/>
        <v>8000</v>
      </c>
      <c r="G20" s="161" t="s">
        <v>1691</v>
      </c>
      <c r="H20" s="101" t="s">
        <v>984</v>
      </c>
      <c r="I20" s="98" t="str">
        <f>VLOOKUP(H20,Presupuesto!$B$11:$C$565,2,0)</f>
        <v>MUEBLES VARIOS DE OFICINA</v>
      </c>
      <c r="J20" s="98" t="str">
        <f t="shared" si="0"/>
        <v>Gestión Administrativa y  financiera en apoyo al Desarrollo Académico</v>
      </c>
      <c r="K20" s="98" t="s">
        <v>396</v>
      </c>
    </row>
    <row r="21" spans="2:11" x14ac:dyDescent="0.25">
      <c r="B21" s="93"/>
    </row>
    <row r="22" spans="2:11" ht="15.75" thickBot="1" x14ac:dyDescent="0.3">
      <c r="B22" s="93"/>
      <c r="C22" s="335"/>
      <c r="D22" s="336"/>
      <c r="E22" s="337"/>
      <c r="F22" s="337"/>
      <c r="G22" s="338"/>
      <c r="H22" s="337"/>
      <c r="I22" s="337"/>
      <c r="J22" s="155"/>
      <c r="K22" s="155"/>
    </row>
    <row r="23" spans="2:11" ht="15.75" thickBot="1" x14ac:dyDescent="0.3">
      <c r="B23" s="93"/>
      <c r="C23" s="29" t="s">
        <v>43</v>
      </c>
      <c r="D23" s="30">
        <f>SUM(F30:F30)</f>
        <v>8000</v>
      </c>
      <c r="E23" s="177"/>
      <c r="F23" s="177"/>
      <c r="G23" s="79"/>
      <c r="H23" s="177"/>
      <c r="I23" s="177"/>
    </row>
    <row r="24" spans="2:11" x14ac:dyDescent="0.25">
      <c r="C24" s="70"/>
      <c r="D24" s="31"/>
      <c r="E24" s="93"/>
      <c r="F24" s="93"/>
      <c r="G24" s="93"/>
      <c r="H24" s="76"/>
      <c r="I24" s="76"/>
      <c r="J24" s="76"/>
      <c r="K24" s="112"/>
    </row>
    <row r="25" spans="2:11" x14ac:dyDescent="0.25">
      <c r="C25" s="70"/>
      <c r="D25" s="31"/>
      <c r="E25" s="93"/>
      <c r="F25" s="93"/>
      <c r="G25" s="93"/>
      <c r="H25" s="76"/>
      <c r="I25" s="76"/>
      <c r="J25" s="76"/>
      <c r="K25" s="112"/>
    </row>
    <row r="26" spans="2:11" ht="15.75" x14ac:dyDescent="0.25">
      <c r="C26" s="202" t="s">
        <v>391</v>
      </c>
      <c r="D26" s="368" t="s">
        <v>1817</v>
      </c>
      <c r="E26" s="93"/>
      <c r="F26" s="93"/>
      <c r="G26" s="93"/>
      <c r="H26" s="76"/>
      <c r="I26" s="76"/>
      <c r="J26" s="76"/>
      <c r="K26" s="112"/>
    </row>
    <row r="27" spans="2:11" ht="18.75" x14ac:dyDescent="0.25">
      <c r="C27" s="210" t="str">
        <f>IFERROR(VLOOKUP(D26,'1. Desarrollo e Innov. Curricu.'!$F:$G,2,FALSE),IFERROR(VLOOKUP(D26,'2. Investigación Científica'!$F:$G,2,FALSE),IFERROR(VLOOKUP(D26,'3. Vinculación Univ. Sociedad'!$F:$G,2,FALSE),IFERROR(VLOOKUP(D26,'4. Docencia y Profesorado Univ.'!$F:$G,2,FALSE),IFERROR(VLOOKUP(D26,'5. Estudiantes y Graduados'!$F:$G,2,FALSE),IFERROR(VLOOKUP(D26,'11. Gestion Administrativa'!$F:$G,2,FALSE),IFERROR(VLOOKUP(D26,'13. Gestión Académica'!$F:$G,2,FALSE),IFERROR(VLOOKUP(D26,'9. Asegura. de la Calid. y M'!$F:$G,2,FALSE),IFERROR(VLOOKUP(D26,'6. Gestión del Conocimiento'!$F:$G,2,FALSE),IFERROR(VLOOKUP(D26,'15. Gobernabilidad y Proceso...'!$F:$G,2,FALSE),IFERROR(VLOOKUP(D26,'12. Gestión del Talento Humano'!$F:$G,2,FALSE),IFERROR(VLOOKUP(D26,'14. Internacional... de la E.S.'!$F:$G,2,FALSE),IFERROR(VLOOKUP(D26,'10. Posgrado'!$F:$G,2,FALSE),IFERROR(VLOOKUP(D26,'17. Gestión TIC'!$F:$G,2,FALSE),IFERROR(VLOOKUP(D26,'16. Desa. del Sistema Educ.Sup.'!$F:$G,2,FALSE),IFERROR(VLOOKUP(D26,'8. Cultura de Inno. Insti...'!$F:$G,2,FALSE),VLOOKUP(D26,'7. Lo Esencial de la Reforma U.'!$F:$G,2,0)))))))))))))))))</f>
        <v xml:space="preserve">Gestionar equipo ( 1 Computadora, 1 impresora y 1archivo) para desarrollo de actividades en la coordinaciòn acadèmica. </v>
      </c>
      <c r="D27" s="31"/>
      <c r="E27" s="93"/>
      <c r="F27" s="93"/>
      <c r="G27" s="93"/>
      <c r="H27" s="76"/>
      <c r="I27" s="76"/>
      <c r="J27" s="76"/>
      <c r="K27" s="112"/>
    </row>
    <row r="28" spans="2:11" ht="15.75" thickBot="1" x14ac:dyDescent="0.3">
      <c r="C28" s="70"/>
      <c r="D28" s="31"/>
      <c r="E28" s="93"/>
      <c r="F28" s="93"/>
      <c r="G28" s="93"/>
      <c r="H28" s="76"/>
      <c r="I28" s="76"/>
      <c r="J28" s="76"/>
      <c r="K28" s="112"/>
    </row>
    <row r="29" spans="2:11" ht="30.75" thickBot="1" x14ac:dyDescent="0.3">
      <c r="C29" s="126" t="s">
        <v>44</v>
      </c>
      <c r="D29" s="128" t="s">
        <v>55</v>
      </c>
      <c r="E29" s="128" t="s">
        <v>57</v>
      </c>
      <c r="F29" s="127" t="s">
        <v>27</v>
      </c>
      <c r="G29" s="133" t="s">
        <v>130</v>
      </c>
      <c r="H29" s="128" t="s">
        <v>46</v>
      </c>
      <c r="I29" s="128" t="s">
        <v>131</v>
      </c>
      <c r="J29" s="128" t="s">
        <v>409</v>
      </c>
      <c r="K29" s="128" t="s">
        <v>410</v>
      </c>
    </row>
    <row r="30" spans="2:11" x14ac:dyDescent="0.25">
      <c r="C30" s="99" t="s">
        <v>69</v>
      </c>
      <c r="D30" s="151">
        <v>1</v>
      </c>
      <c r="E30" s="100">
        <v>8000</v>
      </c>
      <c r="F30" s="695">
        <f t="shared" ref="F30" si="2">D30*E30</f>
        <v>8000</v>
      </c>
      <c r="G30" s="161" t="s">
        <v>1691</v>
      </c>
      <c r="H30" s="101" t="s">
        <v>987</v>
      </c>
      <c r="I30" s="98" t="str">
        <f>VLOOKUP(H30,Presupuesto!$B$11:$C$565,2,0)</f>
        <v>EQUIPOS VARIOS DE OFICINA</v>
      </c>
      <c r="J30" s="98" t="s">
        <v>1363</v>
      </c>
      <c r="K30" s="98" t="s">
        <v>394</v>
      </c>
    </row>
    <row r="32" spans="2:11" ht="15.75" thickBot="1" x14ac:dyDescent="0.3"/>
    <row r="33" spans="3:11" ht="15.75" thickBot="1" x14ac:dyDescent="0.3">
      <c r="C33" s="29" t="s">
        <v>43</v>
      </c>
      <c r="D33" s="30">
        <f>SUM(F40:F44)</f>
        <v>98000</v>
      </c>
      <c r="E33" s="177"/>
      <c r="F33" s="177"/>
      <c r="G33" s="79"/>
      <c r="H33" s="177"/>
      <c r="I33" s="177"/>
    </row>
    <row r="34" spans="3:11" x14ac:dyDescent="0.25">
      <c r="C34" s="70"/>
      <c r="D34" s="31"/>
      <c r="E34" s="93"/>
      <c r="F34" s="93"/>
      <c r="G34" s="93"/>
      <c r="H34" s="76"/>
      <c r="I34" s="76"/>
      <c r="J34" s="76"/>
      <c r="K34" s="112"/>
    </row>
    <row r="35" spans="3:11" x14ac:dyDescent="0.25">
      <c r="C35" s="70"/>
      <c r="D35" s="31"/>
      <c r="E35" s="93"/>
      <c r="F35" s="93"/>
      <c r="G35" s="93"/>
      <c r="H35" s="76"/>
      <c r="I35" s="76"/>
      <c r="J35" s="76"/>
      <c r="K35" s="112"/>
    </row>
    <row r="36" spans="3:11" ht="15.75" x14ac:dyDescent="0.25">
      <c r="C36" s="202" t="s">
        <v>391</v>
      </c>
      <c r="D36" s="368" t="s">
        <v>1971</v>
      </c>
      <c r="E36" s="93"/>
      <c r="F36" s="93"/>
      <c r="G36" s="93"/>
      <c r="H36" s="76"/>
      <c r="I36" s="76"/>
      <c r="J36" s="76"/>
      <c r="K36" s="112"/>
    </row>
    <row r="37" spans="3:11" ht="18.75" x14ac:dyDescent="0.25">
      <c r="C37" s="210"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Posgrado'!$F:$G,2,FALSE),IFERROR(VLOOKUP(D36,'17. Gestión TIC'!$F:$G,2,FALSE),IFERROR(VLOOKUP(D36,'16. Desa. del Sistema Educ.Sup.'!$F:$G,2,FALSE),IFERROR(VLOOKUP(D36,'8. Cultura de Inno. Insti...'!$F:$G,2,FALSE),VLOOKUP(D36,'7. Lo Esencial de la Reforma U.'!$F:$G,2,0)))))))))))))))))</f>
        <v>Gestión de equipamiento para el espacio físico de Ciencias Económicas y el aula audiovisual</v>
      </c>
      <c r="D37" s="31"/>
      <c r="E37" s="93"/>
      <c r="F37" s="93"/>
      <c r="G37" s="93"/>
      <c r="H37" s="76"/>
      <c r="I37" s="76"/>
      <c r="J37" s="76"/>
      <c r="K37" s="112"/>
    </row>
    <row r="38" spans="3:11" ht="15.75" thickBot="1" x14ac:dyDescent="0.3">
      <c r="C38" s="70"/>
      <c r="D38" s="31"/>
      <c r="E38" s="93"/>
      <c r="F38" s="93"/>
      <c r="G38" s="93"/>
      <c r="H38" s="76"/>
      <c r="I38" s="76"/>
      <c r="J38" s="76"/>
      <c r="K38" s="112"/>
    </row>
    <row r="39" spans="3:11" ht="30.75" thickBot="1" x14ac:dyDescent="0.3">
      <c r="C39" s="126" t="s">
        <v>44</v>
      </c>
      <c r="D39" s="128" t="s">
        <v>55</v>
      </c>
      <c r="E39" s="128" t="s">
        <v>57</v>
      </c>
      <c r="F39" s="127" t="s">
        <v>27</v>
      </c>
      <c r="G39" s="133" t="s">
        <v>130</v>
      </c>
      <c r="H39" s="128" t="s">
        <v>46</v>
      </c>
      <c r="I39" s="128" t="s">
        <v>131</v>
      </c>
      <c r="J39" s="128" t="s">
        <v>409</v>
      </c>
      <c r="K39" s="128" t="s">
        <v>410</v>
      </c>
    </row>
    <row r="40" spans="3:11" x14ac:dyDescent="0.25">
      <c r="C40" s="95" t="s">
        <v>63</v>
      </c>
      <c r="D40" s="158">
        <v>10</v>
      </c>
      <c r="E40" s="96">
        <v>2800</v>
      </c>
      <c r="F40" s="695">
        <f>D40*E40</f>
        <v>28000</v>
      </c>
      <c r="G40" s="161" t="s">
        <v>1691</v>
      </c>
      <c r="H40" s="98" t="s">
        <v>984</v>
      </c>
      <c r="I40" s="98" t="str">
        <f>VLOOKUP(H40,Presupuesto!$B$11:$C$565,2,0)</f>
        <v>MUEBLES VARIOS DE OFICINA</v>
      </c>
      <c r="J40" s="218" t="s">
        <v>1363</v>
      </c>
      <c r="K40" s="98" t="s">
        <v>396</v>
      </c>
    </row>
    <row r="41" spans="3:11" x14ac:dyDescent="0.25">
      <c r="C41" s="99" t="s">
        <v>64</v>
      </c>
      <c r="D41" s="591">
        <v>10</v>
      </c>
      <c r="E41" s="100">
        <v>2400</v>
      </c>
      <c r="F41" s="695">
        <f>D41*E41</f>
        <v>24000</v>
      </c>
      <c r="G41" s="161" t="s">
        <v>1691</v>
      </c>
      <c r="H41" s="101" t="s">
        <v>984</v>
      </c>
      <c r="I41" s="98" t="str">
        <f>VLOOKUP(H41,Presupuesto!$B$11:$C$565,2,0)</f>
        <v>MUEBLES VARIOS DE OFICINA</v>
      </c>
      <c r="J41" s="98" t="str">
        <f>$J$40</f>
        <v>Gestión Administrativa y  financiera en apoyo al Desarrollo Académico</v>
      </c>
      <c r="K41" s="98" t="s">
        <v>396</v>
      </c>
    </row>
    <row r="42" spans="3:11" x14ac:dyDescent="0.25">
      <c r="C42" s="99" t="s">
        <v>67</v>
      </c>
      <c r="D42" s="591">
        <v>10</v>
      </c>
      <c r="E42" s="100">
        <v>3000</v>
      </c>
      <c r="F42" s="695">
        <f t="shared" ref="F42:F44" si="3">D42*E42</f>
        <v>30000</v>
      </c>
      <c r="G42" s="161" t="s">
        <v>1691</v>
      </c>
      <c r="H42" s="101" t="s">
        <v>984</v>
      </c>
      <c r="I42" s="98" t="str">
        <f>VLOOKUP(H42,Presupuesto!$B$11:$C$565,2,0)</f>
        <v>MUEBLES VARIOS DE OFICINA</v>
      </c>
      <c r="J42" s="98" t="str">
        <f t="shared" ref="J42:J44" si="4">$J$17</f>
        <v>Gestión Administrativa y  financiera en apoyo al Desarrollo Académico</v>
      </c>
      <c r="K42" s="98" t="s">
        <v>396</v>
      </c>
    </row>
    <row r="43" spans="3:11" x14ac:dyDescent="0.25">
      <c r="C43" s="99" t="s">
        <v>68</v>
      </c>
      <c r="D43" s="591">
        <v>0</v>
      </c>
      <c r="E43" s="100">
        <v>10000</v>
      </c>
      <c r="F43" s="97">
        <f t="shared" si="3"/>
        <v>0</v>
      </c>
      <c r="G43" s="161" t="s">
        <v>1691</v>
      </c>
      <c r="H43" s="101" t="s">
        <v>984</v>
      </c>
      <c r="I43" s="98" t="str">
        <f>VLOOKUP(H43,Presupuesto!$B$11:$C$565,2,0)</f>
        <v>MUEBLES VARIOS DE OFICINA</v>
      </c>
      <c r="J43" s="98" t="str">
        <f t="shared" si="4"/>
        <v>Gestión Administrativa y  financiera en apoyo al Desarrollo Académico</v>
      </c>
      <c r="K43" s="98" t="s">
        <v>396</v>
      </c>
    </row>
    <row r="44" spans="3:11" x14ac:dyDescent="0.25">
      <c r="C44" s="99" t="s">
        <v>69</v>
      </c>
      <c r="D44" s="591">
        <v>2</v>
      </c>
      <c r="E44" s="100">
        <v>8000</v>
      </c>
      <c r="F44" s="695">
        <f t="shared" si="3"/>
        <v>16000</v>
      </c>
      <c r="G44" s="161" t="s">
        <v>1691</v>
      </c>
      <c r="H44" s="101" t="s">
        <v>984</v>
      </c>
      <c r="I44" s="98" t="str">
        <f>VLOOKUP(H44,Presupuesto!$B$11:$C$565,2,0)</f>
        <v>MUEBLES VARIOS DE OFICINA</v>
      </c>
      <c r="J44" s="98" t="str">
        <f t="shared" si="4"/>
        <v>Gestión Administrativa y  financiera en apoyo al Desarrollo Académico</v>
      </c>
      <c r="K44" s="98" t="s">
        <v>396</v>
      </c>
    </row>
    <row r="46" spans="3:11" ht="15.75" thickBot="1" x14ac:dyDescent="0.3">
      <c r="C46" s="335"/>
      <c r="D46" s="336"/>
      <c r="E46" s="337"/>
      <c r="F46" s="337"/>
      <c r="G46" s="338"/>
      <c r="H46" s="337"/>
      <c r="I46" s="337"/>
      <c r="J46" s="155"/>
      <c r="K46" s="155"/>
    </row>
    <row r="47" spans="3:11" ht="15.75" thickBot="1" x14ac:dyDescent="0.3">
      <c r="C47" s="29" t="s">
        <v>43</v>
      </c>
      <c r="D47" s="30">
        <f>SUM(F54:F54)</f>
        <v>8000</v>
      </c>
      <c r="E47" s="177"/>
      <c r="F47" s="177"/>
      <c r="G47" s="79"/>
      <c r="H47" s="177"/>
      <c r="I47" s="177"/>
    </row>
    <row r="48" spans="3:11" x14ac:dyDescent="0.25">
      <c r="C48" s="70"/>
      <c r="D48" s="31"/>
      <c r="E48" s="93"/>
      <c r="F48" s="93"/>
      <c r="G48" s="93"/>
      <c r="H48" s="76"/>
      <c r="I48" s="76"/>
      <c r="J48" s="76"/>
      <c r="K48" s="112"/>
    </row>
    <row r="49" spans="3:11" x14ac:dyDescent="0.25">
      <c r="C49" s="70"/>
      <c r="D49" s="31"/>
      <c r="E49" s="93"/>
      <c r="F49" s="93"/>
      <c r="G49" s="93"/>
      <c r="H49" s="76"/>
      <c r="I49" s="76"/>
      <c r="J49" s="76"/>
      <c r="K49" s="112"/>
    </row>
    <row r="50" spans="3:11" ht="15.75" x14ac:dyDescent="0.25">
      <c r="C50" s="202" t="s">
        <v>391</v>
      </c>
      <c r="D50" s="368" t="s">
        <v>2021</v>
      </c>
      <c r="E50" s="93"/>
      <c r="F50" s="93"/>
      <c r="G50" s="93"/>
      <c r="H50" s="76"/>
      <c r="I50" s="76"/>
      <c r="J50" s="76"/>
      <c r="K50" s="112"/>
    </row>
    <row r="51" spans="3:11" ht="18.75" x14ac:dyDescent="0.25">
      <c r="C51" s="210" t="str">
        <f>IFERROR(VLOOKUP(D50,'1. Desarrollo e Innov. Curricu.'!$F:$G,2,FALSE),IFERROR(VLOOKUP(D50,'2. Investigación Científica'!$F:$G,2,FALSE),IFERROR(VLOOKUP(D50,'3. Vinculación Univ. Sociedad'!$F:$G,2,FALSE),IFERROR(VLOOKUP(D50,'4. Docencia y Profesorado Univ.'!$F:$G,2,FALSE),IFERROR(VLOOKUP(D50,'5. Estudiantes y Graduados'!$F:$G,2,FALSE),IFERROR(VLOOKUP(D50,'11. Gestion Administrativa'!$F:$G,2,FALSE),IFERROR(VLOOKUP(D50,'13. Gestión Académica'!$F:$G,2,FALSE),IFERROR(VLOOKUP(D50,'9. Asegura. de la Calid. y M'!$F:$G,2,FALSE),IFERROR(VLOOKUP(D50,'6. Gestión del Conocimiento'!$F:$G,2,FALSE),IFERROR(VLOOKUP(D50,'15. Gobernabilidad y Proceso...'!$F:$G,2,FALSE),IFERROR(VLOOKUP(D50,'12. Gestión del Talento Humano'!$F:$G,2,FALSE),IFERROR(VLOOKUP(D50,'14. Internacional... de la E.S.'!$F:$G,2,FALSE),IFERROR(VLOOKUP(D50,'10. Posgrado'!$F:$G,2,FALSE),IFERROR(VLOOKUP(D50,'17. Gestión TIC'!$F:$G,2,FALSE),IFERROR(VLOOKUP(D50,'16. Desa. del Sistema Educ.Sup.'!$F:$G,2,FALSE),IFERROR(VLOOKUP(D50,'8. Cultura de Inno. Insti...'!$F:$G,2,FALSE),VLOOKUP(D50,'7. Lo Esencial de la Reforma U.'!$F:$G,2,0)))))))))))))))))</f>
        <v>Gestionar la adquisición de impresora, archivo (1).</v>
      </c>
      <c r="D51" s="31"/>
      <c r="E51" s="93"/>
      <c r="F51" s="93"/>
      <c r="G51" s="93"/>
      <c r="H51" s="76"/>
      <c r="I51" s="76"/>
      <c r="J51" s="76"/>
      <c r="K51" s="112"/>
    </row>
    <row r="52" spans="3:11" ht="15.75" thickBot="1" x14ac:dyDescent="0.3">
      <c r="C52" s="70"/>
      <c r="D52" s="31"/>
      <c r="E52" s="93"/>
      <c r="F52" s="93"/>
      <c r="G52" s="93"/>
      <c r="H52" s="76"/>
      <c r="I52" s="76"/>
      <c r="J52" s="76"/>
      <c r="K52" s="112"/>
    </row>
    <row r="53" spans="3:11" ht="30.75" thickBot="1" x14ac:dyDescent="0.3">
      <c r="C53" s="126" t="s">
        <v>44</v>
      </c>
      <c r="D53" s="128" t="s">
        <v>55</v>
      </c>
      <c r="E53" s="128" t="s">
        <v>57</v>
      </c>
      <c r="F53" s="127" t="s">
        <v>27</v>
      </c>
      <c r="G53" s="133" t="s">
        <v>130</v>
      </c>
      <c r="H53" s="128" t="s">
        <v>46</v>
      </c>
      <c r="I53" s="128" t="s">
        <v>131</v>
      </c>
      <c r="J53" s="128" t="s">
        <v>409</v>
      </c>
      <c r="K53" s="128" t="s">
        <v>410</v>
      </c>
    </row>
    <row r="54" spans="3:11" x14ac:dyDescent="0.25">
      <c r="C54" s="99" t="s">
        <v>69</v>
      </c>
      <c r="D54" s="151">
        <v>1</v>
      </c>
      <c r="E54" s="100">
        <v>8000</v>
      </c>
      <c r="F54" s="695">
        <f t="shared" ref="F54" si="5">D54*E54</f>
        <v>8000</v>
      </c>
      <c r="G54" s="161" t="s">
        <v>1691</v>
      </c>
      <c r="H54" s="101" t="s">
        <v>987</v>
      </c>
      <c r="I54" s="98" t="str">
        <f>VLOOKUP(H54,Presupuesto!$B$11:$C$565,2,0)</f>
        <v>EQUIPOS VARIOS DE OFICINA</v>
      </c>
      <c r="J54" s="98" t="s">
        <v>1363</v>
      </c>
      <c r="K54" s="98" t="s">
        <v>396</v>
      </c>
    </row>
    <row r="56" spans="3:11" ht="15.75" thickBot="1" x14ac:dyDescent="0.3"/>
    <row r="57" spans="3:11" ht="15.75" thickBot="1" x14ac:dyDescent="0.3">
      <c r="C57" s="29" t="s">
        <v>43</v>
      </c>
      <c r="D57" s="30">
        <f>SUM(F64:F64)</f>
        <v>8000</v>
      </c>
      <c r="E57" s="177"/>
      <c r="F57" s="177"/>
      <c r="G57" s="79"/>
      <c r="H57" s="177"/>
      <c r="I57" s="177"/>
    </row>
    <row r="58" spans="3:11" x14ac:dyDescent="0.25">
      <c r="C58" s="70"/>
      <c r="D58" s="31"/>
      <c r="E58" s="93"/>
      <c r="F58" s="93"/>
      <c r="G58" s="93"/>
      <c r="H58" s="76"/>
      <c r="I58" s="76"/>
      <c r="J58" s="76"/>
      <c r="K58" s="112"/>
    </row>
    <row r="59" spans="3:11" x14ac:dyDescent="0.25">
      <c r="C59" s="70"/>
      <c r="D59" s="31"/>
      <c r="E59" s="93"/>
      <c r="F59" s="93"/>
      <c r="G59" s="93"/>
      <c r="H59" s="76"/>
      <c r="I59" s="76"/>
      <c r="J59" s="76"/>
      <c r="K59" s="112"/>
    </row>
    <row r="60" spans="3:11" ht="15.75" x14ac:dyDescent="0.25">
      <c r="C60" s="202" t="s">
        <v>391</v>
      </c>
      <c r="D60" s="368" t="s">
        <v>2054</v>
      </c>
      <c r="E60" s="93"/>
      <c r="F60" s="93"/>
      <c r="G60" s="93"/>
      <c r="H60" s="76"/>
      <c r="I60" s="76"/>
      <c r="J60" s="76"/>
      <c r="K60" s="112"/>
    </row>
    <row r="61" spans="3:11" ht="18.75" x14ac:dyDescent="0.25">
      <c r="C61" s="210" t="str">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Asegura. de la Calid. y M'!$F:$G,2,FALSE),IFERROR(VLOOKUP(D60,'6. Gestión del Conocimiento'!$F:$G,2,FALSE),IFERROR(VLOOKUP(D60,'15. Gobernabilidad y Proceso...'!$F:$G,2,FALSE),IFERROR(VLOOKUP(D60,'12. Gestión del Talento Humano'!$F:$G,2,FALSE),IFERROR(VLOOKUP(D60,'14. Internacional... de la E.S.'!$F:$G,2,FALSE),IFERROR(VLOOKUP(D60,'10. Posgrado'!$F:$G,2,FALSE),IFERROR(VLOOKUP(D60,'17. Gestión TIC'!$F:$G,2,FALSE),IFERROR(VLOOKUP(D60,'16. Desa. del Sistema Educ.Sup.'!$F:$G,2,FALSE),IFERROR(VLOOKUP(D60,'8. Cultura de Inno. Insti...'!$F:$G,2,FALSE),VLOOKUP(D60,'7. Lo Esencial de la Reforma U.'!$F:$G,2,0)))))))))))))))))</f>
        <v xml:space="preserve">Gestión de equipo de oficina y material de laboratorio para el area de Ciencias Medicas 
</v>
      </c>
      <c r="D61" s="31"/>
      <c r="E61" s="93"/>
      <c r="F61" s="93"/>
      <c r="G61" s="93"/>
      <c r="H61" s="76"/>
      <c r="I61" s="76"/>
      <c r="J61" s="76"/>
      <c r="K61" s="112"/>
    </row>
    <row r="62" spans="3:11" ht="15.75" thickBot="1" x14ac:dyDescent="0.3">
      <c r="C62" s="70"/>
      <c r="D62" s="31"/>
      <c r="E62" s="93"/>
      <c r="F62" s="93"/>
      <c r="G62" s="93"/>
      <c r="H62" s="76"/>
      <c r="I62" s="76"/>
      <c r="J62" s="76"/>
      <c r="K62" s="112"/>
    </row>
    <row r="63" spans="3:11" ht="30.75" thickBot="1" x14ac:dyDescent="0.3">
      <c r="C63" s="126" t="s">
        <v>44</v>
      </c>
      <c r="D63" s="128" t="s">
        <v>55</v>
      </c>
      <c r="E63" s="128" t="s">
        <v>57</v>
      </c>
      <c r="F63" s="127" t="s">
        <v>27</v>
      </c>
      <c r="G63" s="133" t="s">
        <v>130</v>
      </c>
      <c r="H63" s="128" t="s">
        <v>46</v>
      </c>
      <c r="I63" s="128" t="s">
        <v>131</v>
      </c>
      <c r="J63" s="128" t="s">
        <v>409</v>
      </c>
      <c r="K63" s="128" t="s">
        <v>410</v>
      </c>
    </row>
    <row r="64" spans="3:11" x14ac:dyDescent="0.25">
      <c r="C64" s="99" t="s">
        <v>69</v>
      </c>
      <c r="D64" s="151">
        <v>1</v>
      </c>
      <c r="E64" s="100">
        <v>8000</v>
      </c>
      <c r="F64" s="695">
        <f t="shared" ref="F64" si="6">D64*E64</f>
        <v>8000</v>
      </c>
      <c r="G64" s="161" t="s">
        <v>1691</v>
      </c>
      <c r="H64" s="101" t="s">
        <v>987</v>
      </c>
      <c r="I64" s="98" t="str">
        <f>VLOOKUP(H64,Presupuesto!$B$11:$C$565,2,0)</f>
        <v>EQUIPOS VARIOS DE OFICINA</v>
      </c>
      <c r="J64" s="98" t="s">
        <v>1363</v>
      </c>
      <c r="K64" s="98" t="s">
        <v>394</v>
      </c>
    </row>
    <row r="66" spans="3:11" ht="15.75" thickBot="1" x14ac:dyDescent="0.3">
      <c r="C66" s="335"/>
      <c r="D66" s="336"/>
      <c r="E66" s="337"/>
      <c r="F66" s="337"/>
      <c r="G66" s="338"/>
      <c r="H66" s="337"/>
      <c r="I66" s="337"/>
      <c r="J66" s="155"/>
      <c r="K66" s="155"/>
    </row>
    <row r="67" spans="3:11" ht="15.75" thickBot="1" x14ac:dyDescent="0.3">
      <c r="C67" s="29" t="s">
        <v>43</v>
      </c>
      <c r="D67" s="30">
        <f>SUM(F74:F77)</f>
        <v>62800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8" t="s">
        <v>2111</v>
      </c>
      <c r="E70" s="93"/>
      <c r="F70" s="93"/>
      <c r="G70" s="93"/>
      <c r="H70" s="76"/>
      <c r="I70" s="76"/>
      <c r="J70" s="76"/>
      <c r="K70" s="112"/>
    </row>
    <row r="71" spans="3:11" ht="18.75" x14ac:dyDescent="0.25">
      <c r="C71" s="210"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 xml:space="preserve">Gestión de equipo audiovisual y equipo de oficina para la carrera de Enfermeria  </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9" t="s">
        <v>64</v>
      </c>
      <c r="D74" s="151">
        <v>6</v>
      </c>
      <c r="E74" s="696">
        <v>2400</v>
      </c>
      <c r="F74" s="695">
        <f>D74*E74</f>
        <v>14400</v>
      </c>
      <c r="G74" s="161" t="s">
        <v>1691</v>
      </c>
      <c r="H74" s="101" t="s">
        <v>984</v>
      </c>
      <c r="I74" s="98" t="str">
        <f>VLOOKUP(H74,Presupuesto!$B$11:$C$565,2,0)</f>
        <v>MUEBLES VARIOS DE OFICINA</v>
      </c>
      <c r="J74" s="98" t="s">
        <v>1363</v>
      </c>
      <c r="K74" s="98" t="s">
        <v>396</v>
      </c>
    </row>
    <row r="75" spans="3:11" x14ac:dyDescent="0.25">
      <c r="C75" s="99" t="s">
        <v>67</v>
      </c>
      <c r="D75" s="151">
        <v>6</v>
      </c>
      <c r="E75" s="696">
        <v>3000</v>
      </c>
      <c r="F75" s="695">
        <f t="shared" ref="F75:F77" si="7">D75*E75</f>
        <v>18000</v>
      </c>
      <c r="G75" s="161" t="s">
        <v>1691</v>
      </c>
      <c r="H75" s="101" t="s">
        <v>984</v>
      </c>
      <c r="I75" s="98" t="str">
        <f>VLOOKUP(H75,Presupuesto!$B$11:$C$565,2,0)</f>
        <v>MUEBLES VARIOS DE OFICINA</v>
      </c>
      <c r="J75" s="98" t="s">
        <v>1363</v>
      </c>
      <c r="K75" s="98" t="s">
        <v>396</v>
      </c>
    </row>
    <row r="76" spans="3:11" x14ac:dyDescent="0.25">
      <c r="C76" s="99" t="s">
        <v>2114</v>
      </c>
      <c r="D76" s="151">
        <v>3</v>
      </c>
      <c r="E76" s="696">
        <v>4800</v>
      </c>
      <c r="F76" s="695">
        <f t="shared" si="7"/>
        <v>14400</v>
      </c>
      <c r="G76" s="161" t="s">
        <v>1691</v>
      </c>
      <c r="H76" s="101" t="s">
        <v>984</v>
      </c>
      <c r="I76" s="98" t="str">
        <f>VLOOKUP(H76,Presupuesto!$B$11:$C$565,2,0)</f>
        <v>MUEBLES VARIOS DE OFICINA</v>
      </c>
      <c r="J76" s="98" t="s">
        <v>1363</v>
      </c>
      <c r="K76" s="98" t="s">
        <v>396</v>
      </c>
    </row>
    <row r="77" spans="3:11" x14ac:dyDescent="0.25">
      <c r="C77" s="99" t="s">
        <v>69</v>
      </c>
      <c r="D77" s="151">
        <v>2</v>
      </c>
      <c r="E77" s="696">
        <v>8000</v>
      </c>
      <c r="F77" s="695">
        <f t="shared" si="7"/>
        <v>16000</v>
      </c>
      <c r="G77" s="161" t="s">
        <v>1691</v>
      </c>
      <c r="H77" s="101" t="s">
        <v>987</v>
      </c>
      <c r="I77" s="98" t="str">
        <f>VLOOKUP(H77,Presupuesto!$B$11:$C$565,2,0)</f>
        <v>EQUIPOS VARIOS DE OFICINA</v>
      </c>
      <c r="J77" s="98" t="s">
        <v>1363</v>
      </c>
      <c r="K77" s="98" t="s">
        <v>396</v>
      </c>
    </row>
    <row r="79" spans="3:11" ht="15.75" thickBot="1" x14ac:dyDescent="0.3"/>
    <row r="80" spans="3:11" ht="15.75" thickBot="1" x14ac:dyDescent="0.3">
      <c r="C80" s="29" t="s">
        <v>43</v>
      </c>
      <c r="D80" s="30">
        <f>SUM(F87:F87)</f>
        <v>6000</v>
      </c>
      <c r="E80" s="177"/>
      <c r="F80" s="177"/>
      <c r="G80" s="79"/>
      <c r="H80" s="177"/>
      <c r="I80" s="177"/>
    </row>
    <row r="81" spans="3:11" x14ac:dyDescent="0.25">
      <c r="C81" s="70"/>
      <c r="D81" s="31"/>
      <c r="E81" s="93"/>
      <c r="F81" s="93"/>
      <c r="G81" s="93"/>
      <c r="H81" s="76"/>
      <c r="I81" s="76"/>
      <c r="J81" s="76"/>
      <c r="K81" s="112"/>
    </row>
    <row r="82" spans="3:11" x14ac:dyDescent="0.25">
      <c r="C82" s="70"/>
      <c r="D82" s="31"/>
      <c r="E82" s="93"/>
      <c r="F82" s="93"/>
      <c r="G82" s="93"/>
      <c r="H82" s="76"/>
      <c r="I82" s="76"/>
      <c r="J82" s="76"/>
      <c r="K82" s="112"/>
    </row>
    <row r="83" spans="3:11" ht="15.75" x14ac:dyDescent="0.25">
      <c r="C83" s="202" t="s">
        <v>391</v>
      </c>
      <c r="D83" s="368" t="s">
        <v>2220</v>
      </c>
      <c r="E83" s="93"/>
      <c r="F83" s="93"/>
      <c r="G83" s="93"/>
      <c r="H83" s="76"/>
      <c r="I83" s="76"/>
      <c r="J83" s="76"/>
      <c r="K83" s="112"/>
    </row>
    <row r="84" spans="3:11" ht="18.75" x14ac:dyDescent="0.25">
      <c r="C84" s="210" t="str">
        <f>IFERROR(VLOOKUP(D83,'1. Desarrollo e Innov. Curricu.'!$F:$G,2,FALSE),IFERROR(VLOOKUP(D83,'2. Investigación Científica'!$F:$G,2,FALSE),IFERROR(VLOOKUP(D83,'3. Vinculación Univ. Sociedad'!$F:$G,2,FALSE),IFERROR(VLOOKUP(D83,'4. Docencia y Profesorado Univ.'!$F:$G,2,FALSE),IFERROR(VLOOKUP(D83,'5. Estudiantes y Graduados'!$F:$G,2,FALSE),IFERROR(VLOOKUP(D83,'11. Gestion Administrativa'!$F:$G,2,FALSE),IFERROR(VLOOKUP(D83,'13. Gestión Académica'!$F:$G,2,FALSE),IFERROR(VLOOKUP(D83,'9. Asegura. de la Calid. y M'!$F:$G,2,FALSE),IFERROR(VLOOKUP(D83,'6. Gestión del Conocimiento'!$F:$G,2,FALSE),IFERROR(VLOOKUP(D83,'15. Gobernabilidad y Proceso...'!$F:$G,2,FALSE),IFERROR(VLOOKUP(D83,'12. Gestión del Talento Humano'!$F:$G,2,FALSE),IFERROR(VLOOKUP(D83,'14. Internacional... de la E.S.'!$F:$G,2,FALSE),IFERROR(VLOOKUP(D83,'10. Posgrado'!$F:$G,2,FALSE),IFERROR(VLOOKUP(D83,'17. Gestión TIC'!$F:$G,2,FALSE),IFERROR(VLOOKUP(D83,'16. Desa. del Sistema Educ.Sup.'!$F:$G,2,FALSE),IFERROR(VLOOKUP(D83,'8. Cultura de Inno. Insti...'!$F:$G,2,FALSE),VLOOKUP(D83,'7. Lo Esencial de la Reforma U.'!$F:$G,2,0)))))))))))))))))</f>
        <v>Gestionar la compra de dos escritorios para docentes de Informática</v>
      </c>
      <c r="D84" s="31"/>
      <c r="E84" s="93"/>
      <c r="F84" s="93"/>
      <c r="G84" s="93"/>
      <c r="H84" s="76"/>
      <c r="I84" s="76"/>
      <c r="J84" s="76"/>
      <c r="K84" s="112"/>
    </row>
    <row r="85" spans="3:11" ht="15.75" thickBot="1" x14ac:dyDescent="0.3">
      <c r="C85" s="70"/>
      <c r="D85" s="31"/>
      <c r="E85" s="93"/>
      <c r="F85" s="93"/>
      <c r="G85" s="93"/>
      <c r="H85" s="76"/>
      <c r="I85" s="76"/>
      <c r="J85" s="76"/>
      <c r="K85" s="112"/>
    </row>
    <row r="86" spans="3:11" ht="30.75" thickBot="1" x14ac:dyDescent="0.3">
      <c r="C86" s="126" t="s">
        <v>44</v>
      </c>
      <c r="D86" s="128" t="s">
        <v>55</v>
      </c>
      <c r="E86" s="128" t="s">
        <v>57</v>
      </c>
      <c r="F86" s="127" t="s">
        <v>27</v>
      </c>
      <c r="G86" s="133" t="s">
        <v>130</v>
      </c>
      <c r="H86" s="128" t="s">
        <v>46</v>
      </c>
      <c r="I86" s="128" t="s">
        <v>131</v>
      </c>
      <c r="J86" s="128" t="s">
        <v>409</v>
      </c>
      <c r="K86" s="128" t="s">
        <v>410</v>
      </c>
    </row>
    <row r="87" spans="3:11" x14ac:dyDescent="0.25">
      <c r="C87" s="99" t="s">
        <v>67</v>
      </c>
      <c r="D87" s="151">
        <v>2</v>
      </c>
      <c r="E87" s="100">
        <v>3000</v>
      </c>
      <c r="F87" s="695">
        <f t="shared" ref="F87" si="8">D87*E87</f>
        <v>6000</v>
      </c>
      <c r="G87" s="161" t="s">
        <v>1691</v>
      </c>
      <c r="H87" s="101" t="s">
        <v>984</v>
      </c>
      <c r="I87" s="98" t="str">
        <f>VLOOKUP(H87,Presupuesto!$B$11:$C$565,2,0)</f>
        <v>MUEBLES VARIOS DE OFICINA</v>
      </c>
      <c r="J87" s="98" t="s">
        <v>1363</v>
      </c>
      <c r="K87" s="98" t="s">
        <v>394</v>
      </c>
    </row>
    <row r="89" spans="3:11" ht="15.75" thickBot="1" x14ac:dyDescent="0.3">
      <c r="C89" s="335"/>
      <c r="D89" s="336"/>
      <c r="E89" s="337"/>
      <c r="F89" s="337"/>
      <c r="G89" s="338"/>
      <c r="H89" s="337"/>
      <c r="I89" s="337"/>
      <c r="J89" s="155"/>
      <c r="K89" s="155"/>
    </row>
    <row r="90" spans="3:11" ht="15.75" thickBot="1" x14ac:dyDescent="0.3">
      <c r="C90" s="29" t="s">
        <v>43</v>
      </c>
      <c r="D90" s="30">
        <f>SUM(F97:F103)</f>
        <v>185000</v>
      </c>
      <c r="E90" s="177"/>
      <c r="F90" s="177"/>
      <c r="G90" s="79"/>
      <c r="H90" s="177"/>
      <c r="I90" s="177"/>
    </row>
    <row r="91" spans="3:11" x14ac:dyDescent="0.25">
      <c r="C91" s="70"/>
      <c r="D91" s="31"/>
      <c r="E91" s="93"/>
      <c r="F91" s="93"/>
      <c r="G91" s="93"/>
      <c r="H91" s="76"/>
      <c r="I91" s="76"/>
      <c r="J91" s="76"/>
      <c r="K91" s="112"/>
    </row>
    <row r="92" spans="3:11" x14ac:dyDescent="0.25">
      <c r="C92" s="70"/>
      <c r="D92" s="31"/>
      <c r="E92" s="93"/>
      <c r="F92" s="93"/>
      <c r="G92" s="93"/>
      <c r="H92" s="76"/>
      <c r="I92" s="76"/>
      <c r="J92" s="76"/>
      <c r="K92" s="112"/>
    </row>
    <row r="93" spans="3:11" ht="15.75" x14ac:dyDescent="0.25">
      <c r="C93" s="202" t="s">
        <v>391</v>
      </c>
      <c r="D93" s="368" t="s">
        <v>2354</v>
      </c>
      <c r="E93" s="93"/>
      <c r="F93" s="93"/>
      <c r="G93" s="93"/>
      <c r="H93" s="76"/>
      <c r="I93" s="76"/>
      <c r="J93" s="76"/>
      <c r="K93" s="112"/>
    </row>
    <row r="94" spans="3:11" ht="18.75" x14ac:dyDescent="0.25">
      <c r="C94" s="210" t="str">
        <f>IFERROR(VLOOKUP(D93,'1. Desarrollo e Innov. Curricu.'!$F:$G,2,FALSE),IFERROR(VLOOKUP(D93,'2. Investigación Científica'!$F:$G,2,FALSE),IFERROR(VLOOKUP(D93,'3. Vinculación Univ. Sociedad'!$F:$G,2,FALSE),IFERROR(VLOOKUP(D93,'4. Docencia y Profesorado Univ.'!$F:$G,2,FALSE),IFERROR(VLOOKUP(D93,'5. Estudiantes y Graduados'!$F:$G,2,FALSE),IFERROR(VLOOKUP(D93,'11. Gestion Administrativa'!$F:$G,2,FALSE),IFERROR(VLOOKUP(D93,'13. Gestión Académica'!$F:$G,2,FALSE),IFERROR(VLOOKUP(D93,'9. Asegura. de la Calid. y M'!$F:$G,2,FALSE),IFERROR(VLOOKUP(D93,'6. Gestión del Conocimiento'!$F:$G,2,FALSE),IFERROR(VLOOKUP(D93,'15. Gobernabilidad y Proceso...'!$F:$G,2,FALSE),IFERROR(VLOOKUP(D93,'12. Gestión del Talento Humano'!$F:$G,2,FALSE),IFERROR(VLOOKUP(D93,'14. Internacional... de la E.S.'!$F:$G,2,FALSE),IFERROR(VLOOKUP(D93,'10. Posgrado'!$F:$G,2,FALSE),IFERROR(VLOOKUP(D93,'17. Gestión TIC'!$F:$G,2,FALSE),IFERROR(VLOOKUP(D93,'16. Desa. del Sistema Educ.Sup.'!$F:$G,2,FALSE),IFERROR(VLOOKUP(D93,'8. Cultura de Inno. Insti...'!$F:$G,2,FALSE),VLOOKUP(D93,'7. Lo Esencial de la Reforma U.'!$F:$G,2,0)))))))))))))))))</f>
        <v xml:space="preserve">Gestionar Equipamiento area adminsitrativa, biblioteca, aula de ajedrez </v>
      </c>
      <c r="D94" s="31"/>
      <c r="E94" s="93"/>
      <c r="F94" s="93"/>
      <c r="G94" s="93"/>
      <c r="H94" s="76"/>
      <c r="I94" s="76"/>
      <c r="J94" s="76"/>
      <c r="K94" s="112"/>
    </row>
    <row r="95" spans="3:11" ht="15.75" thickBot="1" x14ac:dyDescent="0.3">
      <c r="C95" s="70"/>
      <c r="D95" s="31"/>
      <c r="E95" s="93"/>
      <c r="F95" s="93"/>
      <c r="G95" s="93"/>
      <c r="H95" s="76"/>
      <c r="I95" s="76"/>
      <c r="J95" s="76"/>
      <c r="K95" s="112"/>
    </row>
    <row r="96" spans="3:11" ht="30.75" thickBot="1" x14ac:dyDescent="0.3">
      <c r="C96" s="126" t="s">
        <v>44</v>
      </c>
      <c r="D96" s="128" t="s">
        <v>55</v>
      </c>
      <c r="E96" s="128" t="s">
        <v>57</v>
      </c>
      <c r="F96" s="127" t="s">
        <v>27</v>
      </c>
      <c r="G96" s="133" t="s">
        <v>130</v>
      </c>
      <c r="H96" s="128" t="s">
        <v>46</v>
      </c>
      <c r="I96" s="128" t="s">
        <v>131</v>
      </c>
      <c r="J96" s="128" t="s">
        <v>409</v>
      </c>
      <c r="K96" s="128" t="s">
        <v>410</v>
      </c>
    </row>
    <row r="97" spans="3:11" x14ac:dyDescent="0.25">
      <c r="C97" s="99" t="s">
        <v>65</v>
      </c>
      <c r="D97" s="591">
        <v>20</v>
      </c>
      <c r="E97" s="100">
        <v>1000</v>
      </c>
      <c r="F97" s="695">
        <f>D97*E97</f>
        <v>20000</v>
      </c>
      <c r="G97" s="161" t="s">
        <v>1691</v>
      </c>
      <c r="H97" s="101" t="s">
        <v>984</v>
      </c>
      <c r="I97" s="98" t="str">
        <f>VLOOKUP(H97,Presupuesto!$B$11:$C$565,2,0)</f>
        <v>MUEBLES VARIOS DE OFICINA</v>
      </c>
      <c r="J97" s="218" t="s">
        <v>1363</v>
      </c>
      <c r="K97" s="98" t="s">
        <v>403</v>
      </c>
    </row>
    <row r="98" spans="3:11" x14ac:dyDescent="0.25">
      <c r="C98" s="99" t="s">
        <v>2359</v>
      </c>
      <c r="D98" s="591">
        <v>4</v>
      </c>
      <c r="E98" s="100">
        <v>2500</v>
      </c>
      <c r="F98" s="695">
        <f>D98*E98</f>
        <v>10000</v>
      </c>
      <c r="G98" s="161" t="s">
        <v>1691</v>
      </c>
      <c r="H98" s="101" t="s">
        <v>984</v>
      </c>
      <c r="I98" s="98" t="str">
        <f>VLOOKUP(H98,Presupuesto!$B$11:$C$565,2,0)</f>
        <v>MUEBLES VARIOS DE OFICINA</v>
      </c>
      <c r="J98" s="98" t="str">
        <f>$J$97</f>
        <v>Gestión Administrativa y  financiera en apoyo al Desarrollo Académico</v>
      </c>
      <c r="K98" s="98" t="s">
        <v>411</v>
      </c>
    </row>
    <row r="99" spans="3:11" x14ac:dyDescent="0.25">
      <c r="C99" s="99" t="s">
        <v>2360</v>
      </c>
      <c r="D99" s="591">
        <v>6</v>
      </c>
      <c r="E99" s="100">
        <v>3000</v>
      </c>
      <c r="F99" s="695">
        <f t="shared" ref="F99:F103" si="9">D99*E99</f>
        <v>18000</v>
      </c>
      <c r="G99" s="161" t="s">
        <v>1691</v>
      </c>
      <c r="H99" s="101" t="s">
        <v>984</v>
      </c>
      <c r="I99" s="98" t="str">
        <f>VLOOKUP(H99,Presupuesto!$B$11:$C$565,2,0)</f>
        <v>MUEBLES VARIOS DE OFICINA</v>
      </c>
      <c r="J99" s="98" t="str">
        <f t="shared" ref="J99:J102" si="10">$J$97</f>
        <v>Gestión Administrativa y  financiera en apoyo al Desarrollo Académico</v>
      </c>
      <c r="K99" s="98" t="s">
        <v>394</v>
      </c>
    </row>
    <row r="100" spans="3:11" x14ac:dyDescent="0.25">
      <c r="C100" s="99" t="s">
        <v>2361</v>
      </c>
      <c r="D100" s="591">
        <v>9</v>
      </c>
      <c r="E100" s="100">
        <v>3000</v>
      </c>
      <c r="F100" s="695">
        <f t="shared" si="9"/>
        <v>27000</v>
      </c>
      <c r="G100" s="161" t="s">
        <v>1691</v>
      </c>
      <c r="H100" s="101" t="s">
        <v>984</v>
      </c>
      <c r="I100" s="98" t="str">
        <f>VLOOKUP(H100,Presupuesto!$B$11:$C$565,2,0)</f>
        <v>MUEBLES VARIOS DE OFICINA</v>
      </c>
      <c r="J100" s="98" t="str">
        <f t="shared" si="10"/>
        <v>Gestión Administrativa y  financiera en apoyo al Desarrollo Académico</v>
      </c>
      <c r="K100" s="98" t="s">
        <v>394</v>
      </c>
    </row>
    <row r="101" spans="3:11" x14ac:dyDescent="0.25">
      <c r="C101" s="99" t="s">
        <v>2362</v>
      </c>
      <c r="D101" s="591">
        <v>10</v>
      </c>
      <c r="E101" s="100">
        <v>3000</v>
      </c>
      <c r="F101" s="695">
        <f t="shared" si="9"/>
        <v>30000</v>
      </c>
      <c r="G101" s="161" t="s">
        <v>1691</v>
      </c>
      <c r="H101" s="101" t="s">
        <v>984</v>
      </c>
      <c r="I101" s="98" t="str">
        <f>VLOOKUP(H101,Presupuesto!$B$11:$C$565,2,0)</f>
        <v>MUEBLES VARIOS DE OFICINA</v>
      </c>
      <c r="J101" s="98" t="str">
        <f t="shared" si="10"/>
        <v>Gestión Administrativa y  financiera en apoyo al Desarrollo Académico</v>
      </c>
      <c r="K101" s="98" t="s">
        <v>394</v>
      </c>
    </row>
    <row r="102" spans="3:11" x14ac:dyDescent="0.25">
      <c r="C102" s="99" t="s">
        <v>69</v>
      </c>
      <c r="D102" s="591">
        <v>10</v>
      </c>
      <c r="E102" s="100">
        <v>8000</v>
      </c>
      <c r="F102" s="695">
        <f t="shared" si="9"/>
        <v>80000</v>
      </c>
      <c r="G102" s="161" t="s">
        <v>1691</v>
      </c>
      <c r="H102" s="101" t="s">
        <v>987</v>
      </c>
      <c r="I102" s="98" t="str">
        <f>VLOOKUP(H102,Presupuesto!$B$11:$C$565,2,0)</f>
        <v>EQUIPOS VARIOS DE OFICINA</v>
      </c>
      <c r="J102" s="98" t="str">
        <f t="shared" si="10"/>
        <v>Gestión Administrativa y  financiera en apoyo al Desarrollo Académico</v>
      </c>
      <c r="K102" s="98" t="s">
        <v>394</v>
      </c>
    </row>
    <row r="103" spans="3:11" ht="15.75" thickBot="1" x14ac:dyDescent="0.3">
      <c r="C103" s="102"/>
      <c r="D103" s="159"/>
      <c r="E103" s="104"/>
      <c r="F103" s="97">
        <f t="shared" si="9"/>
        <v>0</v>
      </c>
      <c r="G103" s="161"/>
      <c r="H103" s="106"/>
      <c r="I103" s="98" t="e">
        <f>VLOOKUP(H103,Presupuesto!$B$11:$C$565,2,0)</f>
        <v>#N/A</v>
      </c>
      <c r="J103" s="98"/>
      <c r="K103" s="98"/>
    </row>
    <row r="105" spans="3:11" ht="15.75" thickBot="1" x14ac:dyDescent="0.3"/>
    <row r="106" spans="3:11" ht="15.75" thickBot="1" x14ac:dyDescent="0.3">
      <c r="C106" s="29" t="s">
        <v>43</v>
      </c>
      <c r="D106" s="30">
        <f>SUM(F113:F116)</f>
        <v>30000</v>
      </c>
      <c r="E106" s="177"/>
      <c r="F106" s="177"/>
      <c r="G106" s="79"/>
      <c r="H106" s="177"/>
      <c r="I106" s="177"/>
    </row>
    <row r="107" spans="3:11" x14ac:dyDescent="0.25">
      <c r="C107" s="70"/>
      <c r="D107" s="31"/>
      <c r="E107" s="93"/>
      <c r="F107" s="93"/>
      <c r="G107" s="93"/>
      <c r="H107" s="76"/>
      <c r="I107" s="76"/>
      <c r="J107" s="76"/>
      <c r="K107" s="112"/>
    </row>
    <row r="108" spans="3:11" x14ac:dyDescent="0.25">
      <c r="C108" s="70"/>
      <c r="D108" s="31"/>
      <c r="E108" s="93"/>
      <c r="F108" s="93"/>
      <c r="G108" s="93"/>
      <c r="H108" s="76"/>
      <c r="I108" s="76"/>
      <c r="J108" s="76"/>
      <c r="K108" s="112"/>
    </row>
    <row r="109" spans="3:11" ht="15.75" x14ac:dyDescent="0.25">
      <c r="C109" s="202" t="s">
        <v>391</v>
      </c>
      <c r="D109" s="368" t="s">
        <v>2355</v>
      </c>
      <c r="E109" s="93"/>
      <c r="F109" s="93"/>
      <c r="G109" s="93"/>
      <c r="H109" s="76"/>
      <c r="I109" s="76"/>
      <c r="J109" s="76"/>
      <c r="K109" s="112"/>
    </row>
    <row r="110" spans="3:11" ht="18.75" x14ac:dyDescent="0.25">
      <c r="C110" s="210" t="str">
        <f>IFERROR(VLOOKUP(D109,'1. Desarrollo e Innov. Curricu.'!$F:$G,2,FALSE),IFERROR(VLOOKUP(D109,'2. Investigación Científica'!$F:$G,2,FALSE),IFERROR(VLOOKUP(D109,'3. Vinculación Univ. Sociedad'!$F:$G,2,FALSE),IFERROR(VLOOKUP(D109,'4. Docencia y Profesorado Univ.'!$F:$G,2,FALSE),IFERROR(VLOOKUP(D109,'5. Estudiantes y Graduados'!$F:$G,2,FALSE),IFERROR(VLOOKUP(D109,'11. Gestion Administrativa'!$F:$G,2,FALSE),IFERROR(VLOOKUP(D109,'13. Gestión Académica'!$F:$G,2,FALSE),IFERROR(VLOOKUP(D109,'9. Asegura. de la Calid. y M'!$F:$G,2,FALSE),IFERROR(VLOOKUP(D109,'6. Gestión del Conocimiento'!$F:$G,2,FALSE),IFERROR(VLOOKUP(D109,'15. Gobernabilidad y Proceso...'!$F:$G,2,FALSE),IFERROR(VLOOKUP(D109,'12. Gestión del Talento Humano'!$F:$G,2,FALSE),IFERROR(VLOOKUP(D109,'14. Internacional... de la E.S.'!$F:$G,2,FALSE),IFERROR(VLOOKUP(D109,'10. Posgrado'!$F:$G,2,FALSE),IFERROR(VLOOKUP(D109,'17. Gestión TIC'!$F:$G,2,FALSE),IFERROR(VLOOKUP(D109,'16. Desa. del Sistema Educ.Sup.'!$F:$G,2,FALSE),IFERROR(VLOOKUP(D109,'8. Cultura de Inno. Insti...'!$F:$G,2,FALSE),VLOOKUP(D109,'7. Lo Esencial de la Reforma U.'!$F:$G,2,0)))))))))))))))))</f>
        <v xml:space="preserve">Gestionar Equipamiento de la sala de maestros de agroindustria.  </v>
      </c>
      <c r="D110" s="31"/>
      <c r="E110" s="93"/>
      <c r="F110" s="93"/>
      <c r="G110" s="93"/>
      <c r="H110" s="76"/>
      <c r="I110" s="76"/>
      <c r="J110" s="76"/>
      <c r="K110" s="112"/>
    </row>
    <row r="111" spans="3:11" ht="15.75" thickBot="1" x14ac:dyDescent="0.3">
      <c r="C111" s="70"/>
      <c r="D111" s="31"/>
      <c r="E111" s="93"/>
      <c r="F111" s="93"/>
      <c r="G111" s="93"/>
      <c r="H111" s="76"/>
      <c r="I111" s="76"/>
      <c r="J111" s="76"/>
      <c r="K111" s="112"/>
    </row>
    <row r="112" spans="3:11" ht="30.75" thickBot="1" x14ac:dyDescent="0.3">
      <c r="C112" s="126" t="s">
        <v>44</v>
      </c>
      <c r="D112" s="128" t="s">
        <v>55</v>
      </c>
      <c r="E112" s="128" t="s">
        <v>57</v>
      </c>
      <c r="F112" s="127" t="s">
        <v>27</v>
      </c>
      <c r="G112" s="133" t="s">
        <v>130</v>
      </c>
      <c r="H112" s="128" t="s">
        <v>46</v>
      </c>
      <c r="I112" s="128" t="s">
        <v>131</v>
      </c>
      <c r="J112" s="128" t="s">
        <v>409</v>
      </c>
      <c r="K112" s="128" t="s">
        <v>410</v>
      </c>
    </row>
    <row r="113" spans="3:11" x14ac:dyDescent="0.25">
      <c r="C113" s="99" t="s">
        <v>2421</v>
      </c>
      <c r="D113" s="151">
        <v>2</v>
      </c>
      <c r="E113" s="100">
        <v>2500</v>
      </c>
      <c r="F113" s="695">
        <f t="shared" ref="F113:F116" si="11">D113*E113</f>
        <v>5000</v>
      </c>
      <c r="G113" s="161" t="s">
        <v>1691</v>
      </c>
      <c r="H113" s="101" t="s">
        <v>984</v>
      </c>
      <c r="I113" s="98" t="str">
        <f>VLOOKUP(H113,Presupuesto!$B$11:$C$565,2,0)</f>
        <v>MUEBLES VARIOS DE OFICINA</v>
      </c>
      <c r="J113" s="98" t="s">
        <v>1363</v>
      </c>
      <c r="K113" s="98" t="s">
        <v>394</v>
      </c>
    </row>
    <row r="114" spans="3:11" x14ac:dyDescent="0.25">
      <c r="C114" s="99" t="s">
        <v>2420</v>
      </c>
      <c r="D114" s="151">
        <v>1</v>
      </c>
      <c r="E114" s="100">
        <v>5000</v>
      </c>
      <c r="F114" s="695">
        <f t="shared" si="11"/>
        <v>5000</v>
      </c>
      <c r="G114" s="161" t="s">
        <v>1691</v>
      </c>
      <c r="H114" s="101" t="s">
        <v>984</v>
      </c>
      <c r="I114" s="98" t="str">
        <f>VLOOKUP(H114,Presupuesto!$B$11:$C$565,2,0)</f>
        <v>MUEBLES VARIOS DE OFICINA</v>
      </c>
      <c r="J114" s="98" t="s">
        <v>1363</v>
      </c>
      <c r="K114" s="98" t="s">
        <v>394</v>
      </c>
    </row>
    <row r="115" spans="3:11" x14ac:dyDescent="0.25">
      <c r="C115" s="99" t="s">
        <v>2419</v>
      </c>
      <c r="D115" s="151">
        <v>2</v>
      </c>
      <c r="E115" s="100">
        <v>6000</v>
      </c>
      <c r="F115" s="695">
        <f t="shared" si="11"/>
        <v>12000</v>
      </c>
      <c r="G115" s="161" t="s">
        <v>1691</v>
      </c>
      <c r="H115" s="101" t="s">
        <v>984</v>
      </c>
      <c r="I115" s="98" t="str">
        <f>VLOOKUP(H115,Presupuesto!$B$11:$C$565,2,0)</f>
        <v>MUEBLES VARIOS DE OFICINA</v>
      </c>
      <c r="J115" s="98" t="s">
        <v>1363</v>
      </c>
      <c r="K115" s="98" t="s">
        <v>394</v>
      </c>
    </row>
    <row r="116" spans="3:11" x14ac:dyDescent="0.25">
      <c r="C116" s="99" t="s">
        <v>69</v>
      </c>
      <c r="D116" s="151">
        <v>1</v>
      </c>
      <c r="E116" s="100">
        <v>8000</v>
      </c>
      <c r="F116" s="695">
        <f t="shared" si="11"/>
        <v>8000</v>
      </c>
      <c r="G116" s="161" t="s">
        <v>1691</v>
      </c>
      <c r="H116" s="101" t="s">
        <v>987</v>
      </c>
      <c r="I116" s="98" t="str">
        <f>VLOOKUP(H116,Presupuesto!$B$11:$C$565,2,0)</f>
        <v>EQUIPOS VARIOS DE OFICINA</v>
      </c>
      <c r="J116" s="98" t="s">
        <v>1363</v>
      </c>
      <c r="K116" s="98" t="s">
        <v>394</v>
      </c>
    </row>
    <row r="118" spans="3:11" ht="15.75" thickBot="1" x14ac:dyDescent="0.3">
      <c r="C118" s="335"/>
      <c r="D118" s="336"/>
      <c r="E118" s="337"/>
      <c r="F118" s="337"/>
      <c r="G118" s="338"/>
      <c r="H118" s="337"/>
      <c r="I118" s="337"/>
      <c r="J118" s="155"/>
      <c r="K118" s="155"/>
    </row>
    <row r="119" spans="3:11" ht="15.75" thickBot="1" x14ac:dyDescent="0.3">
      <c r="C119" s="29" t="s">
        <v>43</v>
      </c>
      <c r="D119" s="30">
        <f>SUM(F126:F135)</f>
        <v>0</v>
      </c>
      <c r="E119" s="177"/>
      <c r="F119" s="177"/>
      <c r="G119" s="79"/>
      <c r="H119" s="177"/>
      <c r="I119" s="177"/>
    </row>
    <row r="120" spans="3:11" x14ac:dyDescent="0.25">
      <c r="C120" s="70"/>
      <c r="D120" s="31"/>
      <c r="E120" s="93"/>
      <c r="F120" s="93"/>
      <c r="G120" s="93"/>
      <c r="H120" s="76"/>
      <c r="I120" s="76"/>
      <c r="J120" s="76"/>
      <c r="K120" s="112"/>
    </row>
    <row r="121" spans="3:11" x14ac:dyDescent="0.25">
      <c r="C121" s="70"/>
      <c r="D121" s="31"/>
      <c r="E121" s="93"/>
      <c r="F121" s="93"/>
      <c r="G121" s="93"/>
      <c r="H121" s="76"/>
      <c r="I121" s="76"/>
      <c r="J121" s="76"/>
      <c r="K121" s="112"/>
    </row>
    <row r="122" spans="3:11" ht="15.75" x14ac:dyDescent="0.25">
      <c r="C122" s="202" t="s">
        <v>391</v>
      </c>
      <c r="D122" s="368"/>
      <c r="E122" s="93"/>
      <c r="F122" s="93"/>
      <c r="G122" s="93"/>
      <c r="H122" s="76"/>
      <c r="I122" s="76"/>
      <c r="J122" s="76"/>
      <c r="K122" s="112"/>
    </row>
    <row r="123" spans="3:11" ht="18.75" x14ac:dyDescent="0.25">
      <c r="C123" s="210" t="e">
        <f>IFERROR(VLOOKUP(D122,'1. Desarrollo e Innov. Curricu.'!$F:$G,2,FALSE),IFERROR(VLOOKUP(D122,'2. Investigación Científica'!$F:$G,2,FALSE),IFERROR(VLOOKUP(D122,'3. Vinculación Univ. Sociedad'!$F:$G,2,FALSE),IFERROR(VLOOKUP(D122,'4. Docencia y Profesorado Univ.'!$F:$G,2,FALSE),IFERROR(VLOOKUP(D122,'5. Estudiantes y Graduados'!$F:$G,2,FALSE),IFERROR(VLOOKUP(D122,'11. Gestion Administrativa'!$F:$G,2,FALSE),IFERROR(VLOOKUP(D122,'13. Gestión Académica'!$F:$G,2,FALSE),IFERROR(VLOOKUP(D122,'9. Asegura. de la Calid. y M'!$F:$G,2,FALSE),IFERROR(VLOOKUP(D122,'6. Gestión del Conocimiento'!$F:$G,2,FALSE),IFERROR(VLOOKUP(D122,'15. Gobernabilidad y Proceso...'!$F:$G,2,FALSE),IFERROR(VLOOKUP(D122,'12. Gestión del Talento Humano'!$F:$G,2,FALSE),IFERROR(VLOOKUP(D122,'14. Internacional... de la E.S.'!$F:$G,2,FALSE),IFERROR(VLOOKUP(D122,'10. Posgrado'!$F:$G,2,FALSE),IFERROR(VLOOKUP(D122,'17. Gestión TIC'!$F:$G,2,FALSE),IFERROR(VLOOKUP(D122,'16. Desa. del Sistema Educ.Sup.'!$F:$G,2,FALSE),IFERROR(VLOOKUP(D122,'8. Cultura de Inno. Insti...'!$F:$G,2,FALSE),VLOOKUP(D122,'7. Lo Esencial de la Reforma U.'!$F:$G,2,0)))))))))))))))))</f>
        <v>#N/A</v>
      </c>
      <c r="D123" s="31"/>
      <c r="E123" s="93"/>
      <c r="F123" s="93"/>
      <c r="G123" s="93"/>
      <c r="H123" s="76"/>
      <c r="I123" s="76"/>
      <c r="J123" s="76"/>
      <c r="K123" s="112"/>
    </row>
    <row r="124" spans="3:11" ht="15.75" thickBot="1" x14ac:dyDescent="0.3">
      <c r="C124" s="70"/>
      <c r="D124" s="31"/>
      <c r="E124" s="93"/>
      <c r="F124" s="93"/>
      <c r="G124" s="93"/>
      <c r="H124" s="76"/>
      <c r="I124" s="76"/>
      <c r="J124" s="76"/>
      <c r="K124" s="112"/>
    </row>
    <row r="125" spans="3:11" ht="30.75" thickBot="1" x14ac:dyDescent="0.3">
      <c r="C125" s="126" t="s">
        <v>44</v>
      </c>
      <c r="D125" s="128" t="s">
        <v>55</v>
      </c>
      <c r="E125" s="128" t="s">
        <v>57</v>
      </c>
      <c r="F125" s="127" t="s">
        <v>27</v>
      </c>
      <c r="G125" s="133" t="s">
        <v>130</v>
      </c>
      <c r="H125" s="128" t="s">
        <v>46</v>
      </c>
      <c r="I125" s="128" t="s">
        <v>131</v>
      </c>
      <c r="J125" s="128" t="s">
        <v>409</v>
      </c>
      <c r="K125" s="128" t="s">
        <v>410</v>
      </c>
    </row>
    <row r="126" spans="3:11" x14ac:dyDescent="0.25">
      <c r="C126" s="95" t="s">
        <v>63</v>
      </c>
      <c r="D126" s="158"/>
      <c r="E126" s="96">
        <v>2800</v>
      </c>
      <c r="F126" s="97">
        <f>D126*E126</f>
        <v>0</v>
      </c>
      <c r="G126" s="161"/>
      <c r="H126" s="98" t="s">
        <v>984</v>
      </c>
      <c r="I126" s="98" t="str">
        <f>VLOOKUP(H126,Presupuesto!$B$11:$C$565,2,0)</f>
        <v>MUEBLES VARIOS DE OFICINA</v>
      </c>
      <c r="J126" s="218" t="s">
        <v>1449</v>
      </c>
      <c r="K126" s="98" t="s">
        <v>403</v>
      </c>
    </row>
    <row r="127" spans="3:11" x14ac:dyDescent="0.25">
      <c r="C127" s="99" t="s">
        <v>64</v>
      </c>
      <c r="D127" s="151"/>
      <c r="E127" s="100">
        <v>2400</v>
      </c>
      <c r="F127" s="97">
        <f>D127*E127</f>
        <v>0</v>
      </c>
      <c r="G127" s="161"/>
      <c r="H127" s="101" t="s">
        <v>984</v>
      </c>
      <c r="I127" s="98" t="str">
        <f>VLOOKUP(H127,Presupuesto!$B$11:$C$565,2,0)</f>
        <v>MUEBLES VARIOS DE OFICINA</v>
      </c>
      <c r="J127" s="98" t="str">
        <f>$J$126</f>
        <v>Posgrado</v>
      </c>
      <c r="K127" s="98" t="s">
        <v>411</v>
      </c>
    </row>
    <row r="128" spans="3:11" x14ac:dyDescent="0.25">
      <c r="C128" s="99" t="s">
        <v>65</v>
      </c>
      <c r="D128" s="151"/>
      <c r="E128" s="100">
        <v>1000</v>
      </c>
      <c r="F128" s="97">
        <f t="shared" ref="F128:F135" si="12">D128*E128</f>
        <v>0</v>
      </c>
      <c r="G128" s="161"/>
      <c r="H128" s="101" t="s">
        <v>984</v>
      </c>
      <c r="I128" s="98" t="str">
        <f>VLOOKUP(H128,Presupuesto!$B$11:$C$565,2,0)</f>
        <v>MUEBLES VARIOS DE OFICINA</v>
      </c>
      <c r="J128" s="98" t="str">
        <f t="shared" ref="J128:J135" si="13">$J$126</f>
        <v>Posgrado</v>
      </c>
      <c r="K128" s="98" t="s">
        <v>394</v>
      </c>
    </row>
    <row r="129" spans="3:11" x14ac:dyDescent="0.25">
      <c r="C129" s="99" t="s">
        <v>66</v>
      </c>
      <c r="D129" s="151"/>
      <c r="E129" s="100">
        <v>6000</v>
      </c>
      <c r="F129" s="97">
        <f t="shared" si="12"/>
        <v>0</v>
      </c>
      <c r="G129" s="161"/>
      <c r="H129" s="101" t="s">
        <v>984</v>
      </c>
      <c r="I129" s="98" t="str">
        <f>VLOOKUP(H129,Presupuesto!$B$11:$C$565,2,0)</f>
        <v>MUEBLES VARIOS DE OFICINA</v>
      </c>
      <c r="J129" s="98" t="str">
        <f t="shared" si="13"/>
        <v>Posgrado</v>
      </c>
      <c r="K129" s="98" t="s">
        <v>394</v>
      </c>
    </row>
    <row r="130" spans="3:11" x14ac:dyDescent="0.25">
      <c r="C130" s="99" t="s">
        <v>67</v>
      </c>
      <c r="D130" s="151"/>
      <c r="E130" s="100">
        <v>3000</v>
      </c>
      <c r="F130" s="97">
        <f t="shared" si="12"/>
        <v>0</v>
      </c>
      <c r="G130" s="161"/>
      <c r="H130" s="101" t="s">
        <v>984</v>
      </c>
      <c r="I130" s="98" t="str">
        <f>VLOOKUP(H130,Presupuesto!$B$11:$C$565,2,0)</f>
        <v>MUEBLES VARIOS DE OFICINA</v>
      </c>
      <c r="J130" s="98" t="str">
        <f t="shared" si="13"/>
        <v>Posgrado</v>
      </c>
      <c r="K130" s="98" t="s">
        <v>394</v>
      </c>
    </row>
    <row r="131" spans="3:11" x14ac:dyDescent="0.25">
      <c r="C131" s="99" t="s">
        <v>68</v>
      </c>
      <c r="D131" s="151"/>
      <c r="E131" s="100">
        <v>10000</v>
      </c>
      <c r="F131" s="97">
        <f t="shared" si="12"/>
        <v>0</v>
      </c>
      <c r="G131" s="161"/>
      <c r="H131" s="101" t="s">
        <v>984</v>
      </c>
      <c r="I131" s="98" t="str">
        <f>VLOOKUP(H131,Presupuesto!$B$11:$C$565,2,0)</f>
        <v>MUEBLES VARIOS DE OFICINA</v>
      </c>
      <c r="J131" s="98" t="str">
        <f t="shared" si="13"/>
        <v>Posgrado</v>
      </c>
      <c r="K131" s="98" t="s">
        <v>394</v>
      </c>
    </row>
    <row r="132" spans="3:11" x14ac:dyDescent="0.25">
      <c r="C132" s="99" t="s">
        <v>69</v>
      </c>
      <c r="D132" s="151"/>
      <c r="E132" s="100">
        <v>8000</v>
      </c>
      <c r="F132" s="97">
        <f t="shared" si="12"/>
        <v>0</v>
      </c>
      <c r="G132" s="161"/>
      <c r="H132" s="101" t="s">
        <v>987</v>
      </c>
      <c r="I132" s="98" t="str">
        <f>VLOOKUP(H132,Presupuesto!$B$11:$C$565,2,0)</f>
        <v>EQUIPOS VARIOS DE OFICINA</v>
      </c>
      <c r="J132" s="98" t="str">
        <f t="shared" si="13"/>
        <v>Posgrado</v>
      </c>
      <c r="K132" s="98" t="s">
        <v>394</v>
      </c>
    </row>
    <row r="133" spans="3:11" x14ac:dyDescent="0.25">
      <c r="C133" s="99" t="s">
        <v>70</v>
      </c>
      <c r="D133" s="151"/>
      <c r="E133" s="100">
        <v>2000</v>
      </c>
      <c r="F133" s="97">
        <f t="shared" si="12"/>
        <v>0</v>
      </c>
      <c r="G133" s="161"/>
      <c r="H133" s="101" t="s">
        <v>987</v>
      </c>
      <c r="I133" s="98" t="str">
        <f>VLOOKUP(H133,Presupuesto!$B$11:$C$565,2,0)</f>
        <v>EQUIPOS VARIOS DE OFICINA</v>
      </c>
      <c r="J133" s="98" t="str">
        <f t="shared" si="13"/>
        <v>Posgrado</v>
      </c>
      <c r="K133" s="98" t="s">
        <v>402</v>
      </c>
    </row>
    <row r="134" spans="3:11" x14ac:dyDescent="0.25">
      <c r="C134" s="99" t="s">
        <v>71</v>
      </c>
      <c r="D134" s="151"/>
      <c r="E134" s="100">
        <v>5000</v>
      </c>
      <c r="F134" s="97">
        <f t="shared" si="12"/>
        <v>0</v>
      </c>
      <c r="G134" s="161"/>
      <c r="H134" s="101" t="s">
        <v>987</v>
      </c>
      <c r="I134" s="98" t="str">
        <f>VLOOKUP(H134,Presupuesto!$B$11:$C$565,2,0)</f>
        <v>EQUIPOS VARIOS DE OFICINA</v>
      </c>
      <c r="J134" s="98" t="str">
        <f t="shared" si="13"/>
        <v>Posgrado</v>
      </c>
      <c r="K134" s="98" t="s">
        <v>398</v>
      </c>
    </row>
    <row r="135" spans="3:11" ht="15.75" thickBot="1" x14ac:dyDescent="0.3">
      <c r="C135" s="102" t="s">
        <v>72</v>
      </c>
      <c r="D135" s="159"/>
      <c r="E135" s="104">
        <v>100000</v>
      </c>
      <c r="F135" s="105">
        <f t="shared" si="12"/>
        <v>0</v>
      </c>
      <c r="G135" s="162"/>
      <c r="H135" s="106" t="s">
        <v>987</v>
      </c>
      <c r="I135" s="106" t="str">
        <f>VLOOKUP(H135,Presupuesto!$B$11:$C$565,2,0)</f>
        <v>EQUIPOS VARIOS DE OFICINA</v>
      </c>
      <c r="J135" s="106" t="str">
        <f t="shared" si="13"/>
        <v>Posgrado</v>
      </c>
      <c r="K135" s="124" t="s">
        <v>393</v>
      </c>
    </row>
    <row r="137" spans="3:11" ht="15.75" thickBot="1" x14ac:dyDescent="0.3"/>
    <row r="138" spans="3:11" ht="15.75" thickBot="1" x14ac:dyDescent="0.3">
      <c r="C138" s="29" t="s">
        <v>43</v>
      </c>
      <c r="D138" s="30">
        <f>SUM(F145:F154)</f>
        <v>0</v>
      </c>
      <c r="E138" s="177"/>
      <c r="F138" s="177"/>
      <c r="G138" s="79"/>
      <c r="H138" s="177"/>
      <c r="I138" s="177"/>
    </row>
    <row r="139" spans="3:11" x14ac:dyDescent="0.25">
      <c r="C139" s="70"/>
      <c r="D139" s="31"/>
      <c r="E139" s="93"/>
      <c r="F139" s="93"/>
      <c r="G139" s="93"/>
      <c r="H139" s="76"/>
      <c r="I139" s="76"/>
      <c r="J139" s="76"/>
      <c r="K139" s="112"/>
    </row>
    <row r="140" spans="3:11" x14ac:dyDescent="0.25">
      <c r="C140" s="70"/>
      <c r="D140" s="31"/>
      <c r="E140" s="93"/>
      <c r="F140" s="93"/>
      <c r="G140" s="93"/>
      <c r="H140" s="76"/>
      <c r="I140" s="76"/>
      <c r="J140" s="76"/>
      <c r="K140" s="112"/>
    </row>
    <row r="141" spans="3:11" ht="15.75" x14ac:dyDescent="0.25">
      <c r="C141" s="202" t="s">
        <v>391</v>
      </c>
      <c r="D141" s="368"/>
      <c r="E141" s="93"/>
      <c r="F141" s="93"/>
      <c r="G141" s="93"/>
      <c r="H141" s="76"/>
      <c r="I141" s="76"/>
      <c r="J141" s="76"/>
      <c r="K141" s="112"/>
    </row>
    <row r="142" spans="3:11" ht="18.75" x14ac:dyDescent="0.25">
      <c r="C142" s="210" t="e">
        <f>IFERROR(VLOOKUP(D141,'1. Desarrollo e Innov. Curricu.'!$F:$G,2,FALSE),IFERROR(VLOOKUP(D141,'2. Investigación Científica'!$F:$G,2,FALSE),IFERROR(VLOOKUP(D141,'3. Vinculación Univ. Sociedad'!$F:$G,2,FALSE),IFERROR(VLOOKUP(D141,'4. Docencia y Profesorado Univ.'!$F:$G,2,FALSE),IFERROR(VLOOKUP(D141,'5. Estudiantes y Graduados'!$F:$G,2,FALSE),IFERROR(VLOOKUP(D141,'11. Gestion Administrativa'!$F:$G,2,FALSE),IFERROR(VLOOKUP(D141,'13. Gestión Académica'!$F:$G,2,FALSE),IFERROR(VLOOKUP(D141,'9. Asegura. de la Calid. y M'!$F:$G,2,FALSE),IFERROR(VLOOKUP(D141,'6. Gestión del Conocimiento'!$F:$G,2,FALSE),IFERROR(VLOOKUP(D141,'15. Gobernabilidad y Proceso...'!$F:$G,2,FALSE),IFERROR(VLOOKUP(D141,'12. Gestión del Talento Humano'!$F:$G,2,FALSE),IFERROR(VLOOKUP(D141,'14. Internacional... de la E.S.'!$F:$G,2,FALSE),IFERROR(VLOOKUP(D141,'10. Posgrado'!$F:$G,2,FALSE),IFERROR(VLOOKUP(D141,'17. Gestión TIC'!$F:$G,2,FALSE),IFERROR(VLOOKUP(D141,'16. Desa. del Sistema Educ.Sup.'!$F:$G,2,FALSE),IFERROR(VLOOKUP(D141,'8. Cultura de Inno. Insti...'!$F:$G,2,FALSE),VLOOKUP(D141,'7. Lo Esencial de la Reforma U.'!$F:$G,2,0)))))))))))))))))</f>
        <v>#N/A</v>
      </c>
      <c r="D142" s="31"/>
      <c r="E142" s="93"/>
      <c r="F142" s="93"/>
      <c r="G142" s="93"/>
      <c r="H142" s="76"/>
      <c r="I142" s="76"/>
      <c r="J142" s="76"/>
      <c r="K142" s="112"/>
    </row>
    <row r="143" spans="3:11" ht="15.75" thickBot="1" x14ac:dyDescent="0.3">
      <c r="C143" s="70"/>
      <c r="D143" s="31"/>
      <c r="E143" s="93"/>
      <c r="F143" s="93"/>
      <c r="G143" s="93"/>
      <c r="H143" s="76"/>
      <c r="I143" s="76"/>
      <c r="J143" s="76"/>
      <c r="K143" s="112"/>
    </row>
    <row r="144" spans="3:11" ht="30.75" thickBot="1" x14ac:dyDescent="0.3">
      <c r="C144" s="126" t="s">
        <v>44</v>
      </c>
      <c r="D144" s="128" t="s">
        <v>55</v>
      </c>
      <c r="E144" s="128" t="s">
        <v>57</v>
      </c>
      <c r="F144" s="127" t="s">
        <v>27</v>
      </c>
      <c r="G144" s="133" t="s">
        <v>130</v>
      </c>
      <c r="H144" s="128" t="s">
        <v>46</v>
      </c>
      <c r="I144" s="128" t="s">
        <v>131</v>
      </c>
      <c r="J144" s="128" t="s">
        <v>409</v>
      </c>
      <c r="K144" s="128" t="s">
        <v>410</v>
      </c>
    </row>
    <row r="145" spans="3:11" x14ac:dyDescent="0.25">
      <c r="C145" s="95" t="s">
        <v>63</v>
      </c>
      <c r="D145" s="158"/>
      <c r="E145" s="96">
        <v>2800</v>
      </c>
      <c r="F145" s="97">
        <f>D145*E145</f>
        <v>0</v>
      </c>
      <c r="G145" s="161"/>
      <c r="H145" s="98" t="s">
        <v>984</v>
      </c>
      <c r="I145" s="98" t="str">
        <f>VLOOKUP(H145,Presupuesto!$B$11:$C$565,2,0)</f>
        <v>MUEBLES VARIOS DE OFICINA</v>
      </c>
      <c r="J145" s="218" t="s">
        <v>1449</v>
      </c>
      <c r="K145" s="98" t="s">
        <v>403</v>
      </c>
    </row>
    <row r="146" spans="3:11" x14ac:dyDescent="0.25">
      <c r="C146" s="99" t="s">
        <v>64</v>
      </c>
      <c r="D146" s="151"/>
      <c r="E146" s="100">
        <v>2400</v>
      </c>
      <c r="F146" s="97">
        <f>D146*E146</f>
        <v>0</v>
      </c>
      <c r="G146" s="161"/>
      <c r="H146" s="101" t="s">
        <v>984</v>
      </c>
      <c r="I146" s="98" t="str">
        <f>VLOOKUP(H146,Presupuesto!$B$11:$C$565,2,0)</f>
        <v>MUEBLES VARIOS DE OFICINA</v>
      </c>
      <c r="J146" s="98" t="str">
        <f>$J$145</f>
        <v>Posgrado</v>
      </c>
      <c r="K146" s="98" t="s">
        <v>411</v>
      </c>
    </row>
    <row r="147" spans="3:11" x14ac:dyDescent="0.25">
      <c r="C147" s="99" t="s">
        <v>65</v>
      </c>
      <c r="D147" s="151"/>
      <c r="E147" s="100">
        <v>1000</v>
      </c>
      <c r="F147" s="97">
        <f t="shared" ref="F147:F154" si="14">D147*E147</f>
        <v>0</v>
      </c>
      <c r="G147" s="161"/>
      <c r="H147" s="101" t="s">
        <v>984</v>
      </c>
      <c r="I147" s="98" t="str">
        <f>VLOOKUP(H147,Presupuesto!$B$11:$C$565,2,0)</f>
        <v>MUEBLES VARIOS DE OFICINA</v>
      </c>
      <c r="J147" s="98" t="str">
        <f t="shared" ref="J147:J154" si="15">$J$145</f>
        <v>Posgrado</v>
      </c>
      <c r="K147" s="98" t="s">
        <v>394</v>
      </c>
    </row>
    <row r="148" spans="3:11" x14ac:dyDescent="0.25">
      <c r="C148" s="99" t="s">
        <v>66</v>
      </c>
      <c r="D148" s="151"/>
      <c r="E148" s="100">
        <v>6000</v>
      </c>
      <c r="F148" s="97">
        <f t="shared" si="14"/>
        <v>0</v>
      </c>
      <c r="G148" s="161"/>
      <c r="H148" s="101" t="s">
        <v>984</v>
      </c>
      <c r="I148" s="98" t="str">
        <f>VLOOKUP(H148,Presupuesto!$B$11:$C$565,2,0)</f>
        <v>MUEBLES VARIOS DE OFICINA</v>
      </c>
      <c r="J148" s="98" t="str">
        <f t="shared" si="15"/>
        <v>Posgrado</v>
      </c>
      <c r="K148" s="98" t="s">
        <v>394</v>
      </c>
    </row>
    <row r="149" spans="3:11" x14ac:dyDescent="0.25">
      <c r="C149" s="99" t="s">
        <v>67</v>
      </c>
      <c r="D149" s="151"/>
      <c r="E149" s="100">
        <v>3000</v>
      </c>
      <c r="F149" s="97">
        <f t="shared" si="14"/>
        <v>0</v>
      </c>
      <c r="G149" s="161"/>
      <c r="H149" s="101" t="s">
        <v>984</v>
      </c>
      <c r="I149" s="98" t="str">
        <f>VLOOKUP(H149,Presupuesto!$B$11:$C$565,2,0)</f>
        <v>MUEBLES VARIOS DE OFICINA</v>
      </c>
      <c r="J149" s="98" t="str">
        <f t="shared" si="15"/>
        <v>Posgrado</v>
      </c>
      <c r="K149" s="98" t="s">
        <v>394</v>
      </c>
    </row>
    <row r="150" spans="3:11" x14ac:dyDescent="0.25">
      <c r="C150" s="99" t="s">
        <v>68</v>
      </c>
      <c r="D150" s="151"/>
      <c r="E150" s="100">
        <v>10000</v>
      </c>
      <c r="F150" s="97">
        <f t="shared" si="14"/>
        <v>0</v>
      </c>
      <c r="G150" s="161"/>
      <c r="H150" s="101" t="s">
        <v>984</v>
      </c>
      <c r="I150" s="98" t="str">
        <f>VLOOKUP(H150,Presupuesto!$B$11:$C$565,2,0)</f>
        <v>MUEBLES VARIOS DE OFICINA</v>
      </c>
      <c r="J150" s="98" t="str">
        <f t="shared" si="15"/>
        <v>Posgrado</v>
      </c>
      <c r="K150" s="98" t="s">
        <v>394</v>
      </c>
    </row>
    <row r="151" spans="3:11" x14ac:dyDescent="0.25">
      <c r="C151" s="99" t="s">
        <v>69</v>
      </c>
      <c r="D151" s="151"/>
      <c r="E151" s="100">
        <v>8000</v>
      </c>
      <c r="F151" s="97">
        <f t="shared" si="14"/>
        <v>0</v>
      </c>
      <c r="G151" s="161"/>
      <c r="H151" s="101" t="s">
        <v>987</v>
      </c>
      <c r="I151" s="98" t="str">
        <f>VLOOKUP(H151,Presupuesto!$B$11:$C$565,2,0)</f>
        <v>EQUIPOS VARIOS DE OFICINA</v>
      </c>
      <c r="J151" s="98" t="str">
        <f t="shared" si="15"/>
        <v>Posgrado</v>
      </c>
      <c r="K151" s="98" t="s">
        <v>394</v>
      </c>
    </row>
    <row r="152" spans="3:11" x14ac:dyDescent="0.25">
      <c r="C152" s="99" t="s">
        <v>70</v>
      </c>
      <c r="D152" s="151"/>
      <c r="E152" s="100">
        <v>2000</v>
      </c>
      <c r="F152" s="97">
        <f t="shared" si="14"/>
        <v>0</v>
      </c>
      <c r="G152" s="161"/>
      <c r="H152" s="101" t="s">
        <v>987</v>
      </c>
      <c r="I152" s="98" t="str">
        <f>VLOOKUP(H152,Presupuesto!$B$11:$C$565,2,0)</f>
        <v>EQUIPOS VARIOS DE OFICINA</v>
      </c>
      <c r="J152" s="98" t="str">
        <f t="shared" si="15"/>
        <v>Posgrado</v>
      </c>
      <c r="K152" s="98" t="s">
        <v>402</v>
      </c>
    </row>
    <row r="153" spans="3:11" x14ac:dyDescent="0.25">
      <c r="C153" s="99" t="s">
        <v>71</v>
      </c>
      <c r="D153" s="151"/>
      <c r="E153" s="100">
        <v>5000</v>
      </c>
      <c r="F153" s="97">
        <f t="shared" si="14"/>
        <v>0</v>
      </c>
      <c r="G153" s="161"/>
      <c r="H153" s="101" t="s">
        <v>987</v>
      </c>
      <c r="I153" s="98" t="str">
        <f>VLOOKUP(H153,Presupuesto!$B$11:$C$565,2,0)</f>
        <v>EQUIPOS VARIOS DE OFICINA</v>
      </c>
      <c r="J153" s="98" t="str">
        <f t="shared" si="15"/>
        <v>Posgrado</v>
      </c>
      <c r="K153" s="98" t="s">
        <v>398</v>
      </c>
    </row>
    <row r="154" spans="3:11" ht="15.75" thickBot="1" x14ac:dyDescent="0.3">
      <c r="C154" s="102" t="s">
        <v>72</v>
      </c>
      <c r="D154" s="159"/>
      <c r="E154" s="104">
        <v>100000</v>
      </c>
      <c r="F154" s="105">
        <f t="shared" si="14"/>
        <v>0</v>
      </c>
      <c r="G154" s="162"/>
      <c r="H154" s="106" t="s">
        <v>987</v>
      </c>
      <c r="I154" s="106" t="str">
        <f>VLOOKUP(H154,Presupuesto!$B$11:$C$565,2,0)</f>
        <v>EQUIPOS VARIOS DE OFICINA</v>
      </c>
      <c r="J154" s="106" t="str">
        <f t="shared" si="15"/>
        <v>Posgrado</v>
      </c>
      <c r="K154" s="124" t="s">
        <v>393</v>
      </c>
    </row>
    <row r="156" spans="3:11" ht="15.75" thickBot="1" x14ac:dyDescent="0.3">
      <c r="C156" s="335"/>
      <c r="D156" s="336"/>
      <c r="E156" s="337"/>
      <c r="F156" s="337"/>
      <c r="G156" s="338"/>
      <c r="H156" s="337"/>
      <c r="I156" s="337"/>
      <c r="J156" s="155"/>
      <c r="K156" s="155"/>
    </row>
    <row r="157" spans="3:11" ht="15.75" thickBot="1" x14ac:dyDescent="0.3">
      <c r="C157" s="29" t="s">
        <v>43</v>
      </c>
      <c r="D157" s="30">
        <f>SUM(F164:F173)</f>
        <v>0</v>
      </c>
      <c r="E157" s="177"/>
      <c r="F157" s="177"/>
      <c r="G157" s="79"/>
      <c r="H157" s="177"/>
      <c r="I157" s="177"/>
    </row>
    <row r="158" spans="3:11" x14ac:dyDescent="0.25">
      <c r="C158" s="70"/>
      <c r="D158" s="31"/>
      <c r="E158" s="93"/>
      <c r="F158" s="93"/>
      <c r="G158" s="93"/>
      <c r="H158" s="76"/>
      <c r="I158" s="76"/>
      <c r="J158" s="76"/>
      <c r="K158" s="112"/>
    </row>
    <row r="159" spans="3:11" x14ac:dyDescent="0.25">
      <c r="C159" s="70"/>
      <c r="D159" s="31"/>
      <c r="E159" s="93"/>
      <c r="F159" s="93"/>
      <c r="G159" s="93"/>
      <c r="H159" s="76"/>
      <c r="I159" s="76"/>
      <c r="J159" s="76"/>
      <c r="K159" s="112"/>
    </row>
    <row r="160" spans="3:11" ht="15.75" x14ac:dyDescent="0.25">
      <c r="C160" s="202" t="s">
        <v>391</v>
      </c>
      <c r="D160" s="368"/>
      <c r="E160" s="93"/>
      <c r="F160" s="93"/>
      <c r="G160" s="93"/>
      <c r="H160" s="76"/>
      <c r="I160" s="76"/>
      <c r="J160" s="76"/>
      <c r="K160" s="112"/>
    </row>
    <row r="161" spans="3:11" ht="18.75" x14ac:dyDescent="0.25">
      <c r="C161" s="210" t="e">
        <f>IFERROR(VLOOKUP(D160,'1. Desarrollo e Innov. Curricu.'!$F:$G,2,FALSE),IFERROR(VLOOKUP(D160,'2. Investigación Científica'!$F:$G,2,FALSE),IFERROR(VLOOKUP(D160,'3. Vinculación Univ. Sociedad'!$F:$G,2,FALSE),IFERROR(VLOOKUP(D160,'4. Docencia y Profesorado Univ.'!$F:$G,2,FALSE),IFERROR(VLOOKUP(D160,'5. Estudiantes y Graduados'!$F:$G,2,FALSE),IFERROR(VLOOKUP(D160,'11. Gestion Administrativa'!$F:$G,2,FALSE),IFERROR(VLOOKUP(D160,'13. Gestión Académica'!$F:$G,2,FALSE),IFERROR(VLOOKUP(D160,'9. Asegura. de la Calid. y M'!$F:$G,2,FALSE),IFERROR(VLOOKUP(D160,'6. Gestión del Conocimiento'!$F:$G,2,FALSE),IFERROR(VLOOKUP(D160,'15. Gobernabilidad y Proceso...'!$F:$G,2,FALSE),IFERROR(VLOOKUP(D160,'12. Gestión del Talento Humano'!$F:$G,2,FALSE),IFERROR(VLOOKUP(D160,'14. Internacional... de la E.S.'!$F:$G,2,FALSE),IFERROR(VLOOKUP(D160,'10. Posgrado'!$F:$G,2,FALSE),IFERROR(VLOOKUP(D160,'17. Gestión TIC'!$F:$G,2,FALSE),IFERROR(VLOOKUP(D160,'16. Desa. del Sistema Educ.Sup.'!$F:$G,2,FALSE),IFERROR(VLOOKUP(D160,'8. Cultura de Inno. Insti...'!$F:$G,2,FALSE),VLOOKUP(D160,'7. Lo Esencial de la Reforma U.'!$F:$G,2,0)))))))))))))))))</f>
        <v>#N/A</v>
      </c>
      <c r="D161" s="31"/>
      <c r="E161" s="93"/>
      <c r="F161" s="93"/>
      <c r="G161" s="93"/>
      <c r="H161" s="76"/>
      <c r="I161" s="76"/>
      <c r="J161" s="76"/>
      <c r="K161" s="112"/>
    </row>
    <row r="162" spans="3:11" ht="15.75" thickBot="1" x14ac:dyDescent="0.3">
      <c r="C162" s="70"/>
      <c r="D162" s="31"/>
      <c r="E162" s="93"/>
      <c r="F162" s="93"/>
      <c r="G162" s="93"/>
      <c r="H162" s="76"/>
      <c r="I162" s="76"/>
      <c r="J162" s="76"/>
      <c r="K162" s="112"/>
    </row>
    <row r="163" spans="3:11" ht="30.75" thickBot="1" x14ac:dyDescent="0.3">
      <c r="C163" s="126" t="s">
        <v>44</v>
      </c>
      <c r="D163" s="128" t="s">
        <v>55</v>
      </c>
      <c r="E163" s="128" t="s">
        <v>57</v>
      </c>
      <c r="F163" s="127" t="s">
        <v>27</v>
      </c>
      <c r="G163" s="133" t="s">
        <v>130</v>
      </c>
      <c r="H163" s="128" t="s">
        <v>46</v>
      </c>
      <c r="I163" s="128" t="s">
        <v>131</v>
      </c>
      <c r="J163" s="128" t="s">
        <v>409</v>
      </c>
      <c r="K163" s="128" t="s">
        <v>410</v>
      </c>
    </row>
    <row r="164" spans="3:11" x14ac:dyDescent="0.25">
      <c r="C164" s="95" t="s">
        <v>63</v>
      </c>
      <c r="D164" s="158"/>
      <c r="E164" s="96">
        <v>2800</v>
      </c>
      <c r="F164" s="97">
        <f>D164*E164</f>
        <v>0</v>
      </c>
      <c r="G164" s="161"/>
      <c r="H164" s="98" t="s">
        <v>984</v>
      </c>
      <c r="I164" s="98" t="str">
        <f>VLOOKUP(H164,Presupuesto!$B$11:$C$565,2,0)</f>
        <v>MUEBLES VARIOS DE OFICINA</v>
      </c>
      <c r="J164" s="218" t="s">
        <v>1471</v>
      </c>
      <c r="K164" s="98" t="s">
        <v>403</v>
      </c>
    </row>
    <row r="165" spans="3:11" x14ac:dyDescent="0.25">
      <c r="C165" s="99" t="s">
        <v>64</v>
      </c>
      <c r="D165" s="151"/>
      <c r="E165" s="100">
        <v>2400</v>
      </c>
      <c r="F165" s="97">
        <f>D165*E165</f>
        <v>0</v>
      </c>
      <c r="G165" s="161"/>
      <c r="H165" s="101" t="s">
        <v>984</v>
      </c>
      <c r="I165" s="98" t="str">
        <f>VLOOKUP(H165,Presupuesto!$B$11:$C$565,2,0)</f>
        <v>MUEBLES VARIOS DE OFICINA</v>
      </c>
      <c r="J165" s="98" t="str">
        <f>$J$164</f>
        <v>Desarrollo del Sistema de Educación Superior</v>
      </c>
      <c r="K165" s="98" t="s">
        <v>411</v>
      </c>
    </row>
    <row r="166" spans="3:11" x14ac:dyDescent="0.25">
      <c r="C166" s="99" t="s">
        <v>65</v>
      </c>
      <c r="D166" s="151"/>
      <c r="E166" s="100">
        <v>1000</v>
      </c>
      <c r="F166" s="97">
        <f t="shared" ref="F166:F173" si="16">D166*E166</f>
        <v>0</v>
      </c>
      <c r="G166" s="161"/>
      <c r="H166" s="101" t="s">
        <v>984</v>
      </c>
      <c r="I166" s="98" t="str">
        <f>VLOOKUP(H166,Presupuesto!$B$11:$C$565,2,0)</f>
        <v>MUEBLES VARIOS DE OFICINA</v>
      </c>
      <c r="J166" s="98" t="str">
        <f t="shared" ref="J166:J173" si="17">$J$164</f>
        <v>Desarrollo del Sistema de Educación Superior</v>
      </c>
      <c r="K166" s="98" t="s">
        <v>394</v>
      </c>
    </row>
    <row r="167" spans="3:11" x14ac:dyDescent="0.25">
      <c r="C167" s="99" t="s">
        <v>66</v>
      </c>
      <c r="D167" s="151"/>
      <c r="E167" s="100">
        <v>6000</v>
      </c>
      <c r="F167" s="97">
        <f t="shared" si="16"/>
        <v>0</v>
      </c>
      <c r="G167" s="161"/>
      <c r="H167" s="101" t="s">
        <v>984</v>
      </c>
      <c r="I167" s="98" t="str">
        <f>VLOOKUP(H167,Presupuesto!$B$11:$C$565,2,0)</f>
        <v>MUEBLES VARIOS DE OFICINA</v>
      </c>
      <c r="J167" s="98" t="str">
        <f t="shared" si="17"/>
        <v>Desarrollo del Sistema de Educación Superior</v>
      </c>
      <c r="K167" s="98" t="s">
        <v>394</v>
      </c>
    </row>
    <row r="168" spans="3:11" x14ac:dyDescent="0.25">
      <c r="C168" s="99" t="s">
        <v>67</v>
      </c>
      <c r="D168" s="151"/>
      <c r="E168" s="100">
        <v>3000</v>
      </c>
      <c r="F168" s="97">
        <f t="shared" si="16"/>
        <v>0</v>
      </c>
      <c r="G168" s="161"/>
      <c r="H168" s="101" t="s">
        <v>984</v>
      </c>
      <c r="I168" s="98" t="str">
        <f>VLOOKUP(H168,Presupuesto!$B$11:$C$565,2,0)</f>
        <v>MUEBLES VARIOS DE OFICINA</v>
      </c>
      <c r="J168" s="98" t="str">
        <f t="shared" si="17"/>
        <v>Desarrollo del Sistema de Educación Superior</v>
      </c>
      <c r="K168" s="98" t="s">
        <v>394</v>
      </c>
    </row>
    <row r="169" spans="3:11" x14ac:dyDescent="0.25">
      <c r="C169" s="99" t="s">
        <v>68</v>
      </c>
      <c r="D169" s="151"/>
      <c r="E169" s="100">
        <v>10000</v>
      </c>
      <c r="F169" s="97">
        <f t="shared" si="16"/>
        <v>0</v>
      </c>
      <c r="G169" s="161"/>
      <c r="H169" s="101" t="s">
        <v>984</v>
      </c>
      <c r="I169" s="98" t="str">
        <f>VLOOKUP(H169,Presupuesto!$B$11:$C$565,2,0)</f>
        <v>MUEBLES VARIOS DE OFICINA</v>
      </c>
      <c r="J169" s="98" t="str">
        <f t="shared" si="17"/>
        <v>Desarrollo del Sistema de Educación Superior</v>
      </c>
      <c r="K169" s="98" t="s">
        <v>394</v>
      </c>
    </row>
    <row r="170" spans="3:11" x14ac:dyDescent="0.25">
      <c r="C170" s="99" t="s">
        <v>69</v>
      </c>
      <c r="D170" s="151"/>
      <c r="E170" s="100">
        <v>8000</v>
      </c>
      <c r="F170" s="97">
        <f t="shared" si="16"/>
        <v>0</v>
      </c>
      <c r="G170" s="161"/>
      <c r="H170" s="101" t="s">
        <v>987</v>
      </c>
      <c r="I170" s="98" t="str">
        <f>VLOOKUP(H170,Presupuesto!$B$11:$C$565,2,0)</f>
        <v>EQUIPOS VARIOS DE OFICINA</v>
      </c>
      <c r="J170" s="98" t="str">
        <f t="shared" si="17"/>
        <v>Desarrollo del Sistema de Educación Superior</v>
      </c>
      <c r="K170" s="98" t="s">
        <v>394</v>
      </c>
    </row>
    <row r="171" spans="3:11" x14ac:dyDescent="0.25">
      <c r="C171" s="99" t="s">
        <v>70</v>
      </c>
      <c r="D171" s="151"/>
      <c r="E171" s="100">
        <v>2000</v>
      </c>
      <c r="F171" s="97">
        <f t="shared" si="16"/>
        <v>0</v>
      </c>
      <c r="G171" s="161"/>
      <c r="H171" s="101" t="s">
        <v>987</v>
      </c>
      <c r="I171" s="98" t="str">
        <f>VLOOKUP(H171,Presupuesto!$B$11:$C$565,2,0)</f>
        <v>EQUIPOS VARIOS DE OFICINA</v>
      </c>
      <c r="J171" s="98" t="str">
        <f t="shared" si="17"/>
        <v>Desarrollo del Sistema de Educación Superior</v>
      </c>
      <c r="K171" s="98" t="s">
        <v>402</v>
      </c>
    </row>
    <row r="172" spans="3:11" x14ac:dyDescent="0.25">
      <c r="C172" s="99" t="s">
        <v>71</v>
      </c>
      <c r="D172" s="151"/>
      <c r="E172" s="100">
        <v>5000</v>
      </c>
      <c r="F172" s="97">
        <f t="shared" si="16"/>
        <v>0</v>
      </c>
      <c r="G172" s="161"/>
      <c r="H172" s="101" t="s">
        <v>987</v>
      </c>
      <c r="I172" s="98" t="str">
        <f>VLOOKUP(H172,Presupuesto!$B$11:$C$565,2,0)</f>
        <v>EQUIPOS VARIOS DE OFICINA</v>
      </c>
      <c r="J172" s="98" t="str">
        <f t="shared" si="17"/>
        <v>Desarrollo del Sistema de Educación Superior</v>
      </c>
      <c r="K172" s="98" t="s">
        <v>398</v>
      </c>
    </row>
    <row r="173" spans="3:11" ht="15.75" thickBot="1" x14ac:dyDescent="0.3">
      <c r="C173" s="102" t="s">
        <v>72</v>
      </c>
      <c r="D173" s="159"/>
      <c r="E173" s="104">
        <v>100000</v>
      </c>
      <c r="F173" s="105">
        <f t="shared" si="16"/>
        <v>0</v>
      </c>
      <c r="G173" s="162"/>
      <c r="H173" s="106" t="s">
        <v>987</v>
      </c>
      <c r="I173" s="106" t="str">
        <f>VLOOKUP(H173,Presupuesto!$B$11:$C$565,2,0)</f>
        <v>EQUIPOS VARIOS DE OFICINA</v>
      </c>
      <c r="J173" s="106" t="str">
        <f t="shared" si="17"/>
        <v>Desarrollo del Sistema de Educación Superior</v>
      </c>
      <c r="K173" s="124" t="s">
        <v>393</v>
      </c>
    </row>
  </sheetData>
  <autoFilter ref="C12:C173"/>
  <dataValidations count="5">
    <dataValidation type="list" allowBlank="1" showInputMessage="1" showErrorMessage="1" errorTitle="¡Ingreso Invalido!" error="Seleccione una opción de la lista" promptTitle="Tipo de Presupuesto" prompt="Seleccione una opción de la lista" sqref="G17:G20 G30 G87 G126:G135 G145:G154 G164:G173 G40:G44 G54 G64 G74:G77 G97:G103 G113:G116">
      <formula1>$R$2:$S$2</formula1>
    </dataValidation>
    <dataValidation type="list" allowBlank="1" showInputMessage="1" showErrorMessage="1" errorTitle="¡Ingreso Inválido!" error="Seleccione una opción de la lista" promptTitle="Mes Requerido" prompt="Seleccione el mes en el que requiere el recurso." sqref="K17:K20 K30 K97:K103 K126:K135 K145:K154 K164:K173 K40:K44 K54 K64 K74:K77 K87 K113:K116">
      <formula1>$U$2:$AF$2</formula1>
    </dataValidation>
    <dataValidation type="list" allowBlank="1" showInputMessage="1" showErrorMessage="1" errorTitle="¡Ingreso Inválido!" error="Verifique el valor ingresado." promptTitle="Objeto de Gasto" prompt="Ingrese el Objeto de Gasto." sqref="H17:H20 H40:H44 H87 H126:H135 H145:H154 H164:H173 H30 H54 H64 H74:H77 H97:H103 H113:H116">
      <formula1>$A$1:$UI$1</formula1>
    </dataValidation>
    <dataValidation type="list" allowBlank="1" showInputMessage="1" showErrorMessage="1" errorTitle="¡Ingreso Inválido!" error="Seleccione una opción de la lista." promptTitle="Dimensión Estratégica" prompt="Seleccione una opción de la lista." sqref="J41:J44 J98:J103 J127:J135 J146:J154 J165:J173 J18:J20 J30 J54 J64 J74:J77 J87 J113:J116">
      <formula1>$A$2:$P$2</formula1>
    </dataValidation>
    <dataValidation type="list" allowBlank="1" showInputMessage="1" showErrorMessage="1" errorTitle="¡Ingreso Inválido!" error="Seleccione una opción de la lista." promptTitle="Dimensión Estratégica" prompt="Seleccione una opción de la lista." sqref="J17 J40 J97 J126 J145 J164">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26"/>
  <sheetViews>
    <sheetView showGridLines="0" topLeftCell="A4" zoomScaleNormal="100" workbookViewId="0">
      <selection activeCell="F9" sqref="F9"/>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c r="CB2" s="122" t="s">
        <v>1336</v>
      </c>
      <c r="CC2" s="122" t="s">
        <v>1337</v>
      </c>
      <c r="CD2" s="122" t="s">
        <v>1335</v>
      </c>
      <c r="CE2" s="122" t="s">
        <v>1338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c r="CB3" s="86">
        <v>35000</v>
      </c>
      <c r="CC3" s="86">
        <v>15000</v>
      </c>
      <c r="CD3" s="86">
        <v>35000</v>
      </c>
      <c r="CE3" s="86">
        <v>15000</v>
      </c>
    </row>
    <row r="4" spans="1:555" ht="15.75" thickBot="1" x14ac:dyDescent="0.3"/>
    <row r="5" spans="1:555" ht="53.25" thickBot="1" x14ac:dyDescent="0.3">
      <c r="C5" s="87" t="s">
        <v>382</v>
      </c>
      <c r="D5" s="198">
        <f>SUMIF(C:C,$C$10,D:D)</f>
        <v>326600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SUM(F17:F17)</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x14ac:dyDescent="0.25">
      <c r="B16" s="93"/>
      <c r="C16" s="149" t="s">
        <v>44</v>
      </c>
      <c r="D16" s="149" t="s">
        <v>55</v>
      </c>
      <c r="E16" s="149" t="s">
        <v>57</v>
      </c>
      <c r="F16" s="150" t="s">
        <v>27</v>
      </c>
      <c r="G16" s="150" t="s">
        <v>130</v>
      </c>
      <c r="H16" s="149" t="s">
        <v>46</v>
      </c>
      <c r="I16" s="149" t="s">
        <v>131</v>
      </c>
      <c r="J16" s="149" t="s">
        <v>409</v>
      </c>
      <c r="K16" s="149" t="s">
        <v>410</v>
      </c>
      <c r="L16" s="149" t="s">
        <v>463</v>
      </c>
    </row>
    <row r="17" spans="2:12" x14ac:dyDescent="0.25">
      <c r="B17" s="93"/>
      <c r="C17" s="99"/>
      <c r="D17" s="151"/>
      <c r="E17" s="100"/>
      <c r="F17" s="97"/>
      <c r="G17" s="165"/>
      <c r="H17" s="101" t="s">
        <v>1013</v>
      </c>
      <c r="I17" s="101" t="str">
        <f>VLOOKUP(H17,Presupuesto!$B$11:$C$565,2,0)</f>
        <v>EQUIPO DE COMPUTACION</v>
      </c>
      <c r="J17" s="98" t="s">
        <v>1363</v>
      </c>
      <c r="K17" s="98" t="s">
        <v>396</v>
      </c>
      <c r="L17" s="98"/>
    </row>
    <row r="18" spans="2:12" x14ac:dyDescent="0.25">
      <c r="B18" s="93"/>
      <c r="F18" s="93"/>
      <c r="G18" s="76"/>
      <c r="H18" s="76"/>
      <c r="I18" s="76"/>
    </row>
    <row r="19" spans="2:12" ht="15.75" thickBot="1" x14ac:dyDescent="0.3"/>
    <row r="20" spans="2:12" ht="15.75" thickBot="1" x14ac:dyDescent="0.3">
      <c r="C20" s="29" t="s">
        <v>43</v>
      </c>
      <c r="D20" s="108">
        <f>SUM(F27:F28)</f>
        <v>23000</v>
      </c>
      <c r="F20" s="70"/>
      <c r="G20" s="79"/>
      <c r="H20" s="70"/>
      <c r="I20" s="70"/>
    </row>
    <row r="21" spans="2:12" x14ac:dyDescent="0.25">
      <c r="C21" s="70"/>
      <c r="D21" s="31"/>
      <c r="E21" s="93"/>
      <c r="F21" s="93"/>
      <c r="G21" s="93"/>
      <c r="H21" s="76"/>
      <c r="I21" s="76"/>
      <c r="J21" s="76"/>
      <c r="K21" s="112"/>
    </row>
    <row r="22" spans="2:12" x14ac:dyDescent="0.25">
      <c r="C22" s="70"/>
      <c r="D22" s="31"/>
      <c r="E22" s="93"/>
      <c r="F22" s="93"/>
      <c r="G22" s="93"/>
      <c r="H22" s="76"/>
      <c r="I22" s="76"/>
      <c r="J22" s="76"/>
      <c r="K22" s="112"/>
    </row>
    <row r="23" spans="2:12" ht="15.75" x14ac:dyDescent="0.25">
      <c r="C23" s="202" t="s">
        <v>391</v>
      </c>
      <c r="D23" s="368" t="s">
        <v>1817</v>
      </c>
      <c r="E23" s="93"/>
      <c r="F23" s="93"/>
      <c r="G23" s="93"/>
      <c r="H23" s="76"/>
      <c r="I23" s="76"/>
      <c r="J23" s="76"/>
      <c r="K23" s="112"/>
    </row>
    <row r="24" spans="2:12" ht="18.75" x14ac:dyDescent="0.25">
      <c r="C24" s="210" t="str">
        <f>IFERROR(VLOOKUP(D23,'1. Desarrollo e Innov. Curricu.'!$F:$G,2,FALSE),IFERROR(VLOOKUP(D23,'2. Investigación Científica'!$F:$G,2,FALSE),IFERROR(VLOOKUP(D23,'3. Vinculación Univ. Sociedad'!$F:$G,2,FALSE),IFERROR(VLOOKUP(D23,'4. Docencia y Profesorado Univ.'!$F:$G,2,FALSE),IFERROR(VLOOKUP(D23,'5. Estudiantes y Graduados'!$F:$G,2,FALSE),IFERROR(VLOOKUP(D23,'11. Gestion Administrativa'!$F:$G,2,FALSE),IFERROR(VLOOKUP(D23,'13. Gestión Académica'!$F:$G,2,FALSE),IFERROR(VLOOKUP(D23,'9. Asegura. de la Calid. y M'!$F:$G,2,FALSE),IFERROR(VLOOKUP(D23,'6. Gestión del Conocimiento'!$F:$G,2,FALSE),IFERROR(VLOOKUP(D23,'15. Gobernabilidad y Proceso...'!$F:$G,2,FALSE),IFERROR(VLOOKUP(D23,'12. Gestión del Talento Humano'!$F:$G,2,FALSE),IFERROR(VLOOKUP(D23,'14. Internacional... de la E.S.'!$F:$G,2,FALSE),IFERROR(VLOOKUP(D23,'10. Posgrado'!$F:$G,2,FALSE),IFERROR(VLOOKUP(D23,'16. Desa. del Sistema Educ.Sup.'!$F:$G,2,FALSE),IFERROR(VLOOKUP(D23,'8. Cultura de Inno. Insti...'!$F:$G,2,FALSE),VLOOKUP(D23,'7. Lo Esencial de la Reforma U.'!$F:$G,2,0))))))))))))))))</f>
        <v xml:space="preserve">Gestionar equipo ( 1 Computadora, 1 impresora y 1archivo) para desarrollo de actividades en la coordinaciòn acadèmica. </v>
      </c>
      <c r="D24" s="31"/>
      <c r="E24" s="93"/>
      <c r="F24" s="93"/>
      <c r="G24" s="93"/>
      <c r="H24" s="76"/>
      <c r="I24" s="76"/>
      <c r="J24" s="76"/>
      <c r="K24" s="112"/>
    </row>
    <row r="25" spans="2:12" x14ac:dyDescent="0.25">
      <c r="F25" s="93"/>
      <c r="G25" s="76"/>
      <c r="H25" s="76"/>
      <c r="I25" s="76"/>
    </row>
    <row r="26" spans="2:12" ht="30.75" thickBot="1" x14ac:dyDescent="0.3">
      <c r="C26" s="149" t="s">
        <v>44</v>
      </c>
      <c r="D26" s="149" t="s">
        <v>55</v>
      </c>
      <c r="E26" s="149" t="s">
        <v>57</v>
      </c>
      <c r="F26" s="150" t="s">
        <v>27</v>
      </c>
      <c r="G26" s="150" t="s">
        <v>130</v>
      </c>
      <c r="H26" s="149" t="s">
        <v>46</v>
      </c>
      <c r="I26" s="149" t="s">
        <v>131</v>
      </c>
      <c r="J26" s="149" t="s">
        <v>409</v>
      </c>
      <c r="K26" s="149" t="s">
        <v>410</v>
      </c>
      <c r="L26" s="149" t="s">
        <v>463</v>
      </c>
    </row>
    <row r="27" spans="2:12" x14ac:dyDescent="0.25">
      <c r="C27" s="304" t="s">
        <v>1338</v>
      </c>
      <c r="D27" s="158">
        <v>1</v>
      </c>
      <c r="E27" s="96">
        <f>HLOOKUP($C27,$CB$2:$CE$3,2,0)</f>
        <v>15000</v>
      </c>
      <c r="F27" s="697">
        <f>D27*E27</f>
        <v>15000</v>
      </c>
      <c r="G27" s="165" t="s">
        <v>1691</v>
      </c>
      <c r="H27" s="98" t="s">
        <v>1013</v>
      </c>
      <c r="I27" s="98" t="str">
        <f>VLOOKUP(H27,Presupuesto!$B$11:$C$565,2,0)</f>
        <v>EQUIPO DE COMPUTACION</v>
      </c>
      <c r="J27" s="218" t="s">
        <v>1363</v>
      </c>
      <c r="K27" s="98" t="s">
        <v>394</v>
      </c>
      <c r="L27" s="98"/>
    </row>
    <row r="28" spans="2:12" x14ac:dyDescent="0.25">
      <c r="C28" s="99" t="s">
        <v>74</v>
      </c>
      <c r="D28" s="151">
        <v>1</v>
      </c>
      <c r="E28" s="100">
        <v>8000</v>
      </c>
      <c r="F28" s="697">
        <f t="shared" ref="F28" si="0">D28*E28</f>
        <v>8000</v>
      </c>
      <c r="G28" s="165" t="s">
        <v>1691</v>
      </c>
      <c r="H28" s="101" t="s">
        <v>1013</v>
      </c>
      <c r="I28" s="101" t="str">
        <f>VLOOKUP(H28,Presupuesto!$B$11:$C$565,2,0)</f>
        <v>EQUIPO DE COMPUTACION</v>
      </c>
      <c r="J28" s="98" t="str">
        <f t="shared" ref="J28" si="1">$J$27</f>
        <v>Gestión Administrativa y  financiera en apoyo al Desarrollo Académico</v>
      </c>
      <c r="K28" s="98" t="s">
        <v>394</v>
      </c>
      <c r="L28" s="98"/>
    </row>
    <row r="29" spans="2:12" x14ac:dyDescent="0.25">
      <c r="F29" s="93"/>
      <c r="G29" s="76"/>
      <c r="H29" s="76"/>
      <c r="I29" s="76"/>
    </row>
    <row r="30" spans="2:12" s="465" customFormat="1" x14ac:dyDescent="0.25">
      <c r="F30" s="93"/>
      <c r="G30" s="76"/>
      <c r="H30" s="76"/>
      <c r="I30" s="76"/>
    </row>
    <row r="31" spans="2:12" ht="15.75" thickBot="1" x14ac:dyDescent="0.3"/>
    <row r="32" spans="2:12" ht="15.75" thickBot="1" x14ac:dyDescent="0.3">
      <c r="C32" s="29" t="s">
        <v>43</v>
      </c>
      <c r="D32" s="108">
        <f>SUM(F39:F40)</f>
        <v>28000</v>
      </c>
      <c r="F32" s="70"/>
      <c r="G32" s="79"/>
      <c r="H32" s="70"/>
      <c r="I32" s="70"/>
    </row>
    <row r="33" spans="3:12" x14ac:dyDescent="0.25">
      <c r="C33" s="70"/>
      <c r="D33" s="31"/>
      <c r="E33" s="93"/>
      <c r="F33" s="93"/>
      <c r="G33" s="93"/>
      <c r="H33" s="76"/>
      <c r="I33" s="76"/>
      <c r="J33" s="76"/>
      <c r="K33" s="112"/>
    </row>
    <row r="34" spans="3:12" x14ac:dyDescent="0.25">
      <c r="C34" s="70"/>
      <c r="D34" s="31"/>
      <c r="E34" s="93"/>
      <c r="F34" s="93"/>
      <c r="G34" s="93"/>
      <c r="H34" s="76"/>
      <c r="I34" s="76"/>
      <c r="J34" s="76"/>
      <c r="K34" s="112"/>
    </row>
    <row r="35" spans="3:12" ht="15.75" x14ac:dyDescent="0.25">
      <c r="C35" s="202" t="s">
        <v>391</v>
      </c>
      <c r="D35" s="368" t="s">
        <v>1971</v>
      </c>
      <c r="E35" s="93"/>
      <c r="F35" s="93"/>
      <c r="G35" s="93"/>
      <c r="H35" s="76"/>
      <c r="I35" s="76"/>
      <c r="J35" s="76"/>
      <c r="K35" s="112"/>
    </row>
    <row r="36" spans="3:12" ht="18.75" x14ac:dyDescent="0.25">
      <c r="C36" s="210" t="str">
        <f>IFERROR(VLOOKUP(D35,'1. Desarrollo e Innov. Curricu.'!$F:$G,2,FALSE),IFERROR(VLOOKUP(D35,'2. Investigación Científica'!$F:$G,2,FALSE),IFERROR(VLOOKUP(D35,'3. Vinculación Univ. Sociedad'!$F:$G,2,FALSE),IFERROR(VLOOKUP(D35,'4. Docencia y Profesorado Univ.'!$F:$G,2,FALSE),IFERROR(VLOOKUP(D35,'5. Estudiantes y Graduados'!$F:$G,2,FALSE),IFERROR(VLOOKUP(D35,'11. Gestion Administrativa'!$F:$G,2,FALSE),IFERROR(VLOOKUP(D35,'13. Gestión Académica'!$F:$G,2,FALSE),IFERROR(VLOOKUP(D35,'9. Asegura. de la Calid. y M'!$F:$G,2,FALSE),IFERROR(VLOOKUP(D35,'6. Gestión del Conocimiento'!$F:$G,2,FALSE),IFERROR(VLOOKUP(D35,'15. Gobernabilidad y Proceso...'!$F:$G,2,FALSE),IFERROR(VLOOKUP(D35,'12. Gestión del Talento Humano'!$F:$G,2,FALSE),IFERROR(VLOOKUP(D35,'14. Internacional... de la E.S.'!$F:$G,2,FALSE),IFERROR(VLOOKUP(D35,'10. Posgrado'!$F:$G,2,FALSE),IFERROR(VLOOKUP(D35,'16. Desa. del Sistema Educ.Sup.'!$F:$G,2,FALSE),IFERROR(VLOOKUP(D35,'8. Cultura de Inno. Insti...'!$F:$G,2,FALSE),VLOOKUP(D35,'7. Lo Esencial de la Reforma U.'!$F:$G,2,0))))))))))))))))</f>
        <v>Gestión de equipamiento para el espacio físico de Ciencias Económicas y el aula audiovisual</v>
      </c>
      <c r="D36" s="31"/>
      <c r="E36" s="93"/>
      <c r="F36" s="93"/>
      <c r="G36" s="93"/>
      <c r="H36" s="76"/>
      <c r="I36" s="76"/>
      <c r="J36" s="76"/>
      <c r="K36" s="112"/>
    </row>
    <row r="37" spans="3:12" x14ac:dyDescent="0.25">
      <c r="F37" s="93"/>
      <c r="G37" s="76"/>
      <c r="H37" s="76"/>
      <c r="I37" s="76"/>
    </row>
    <row r="38" spans="3:12" ht="30.75" thickBot="1" x14ac:dyDescent="0.3">
      <c r="C38" s="149" t="s">
        <v>44</v>
      </c>
      <c r="D38" s="149" t="s">
        <v>55</v>
      </c>
      <c r="E38" s="149" t="s">
        <v>57</v>
      </c>
      <c r="F38" s="150" t="s">
        <v>27</v>
      </c>
      <c r="G38" s="150" t="s">
        <v>130</v>
      </c>
      <c r="H38" s="149" t="s">
        <v>46</v>
      </c>
      <c r="I38" s="149" t="s">
        <v>131</v>
      </c>
      <c r="J38" s="149" t="s">
        <v>409</v>
      </c>
      <c r="K38" s="149" t="s">
        <v>410</v>
      </c>
      <c r="L38" s="149" t="s">
        <v>463</v>
      </c>
    </row>
    <row r="39" spans="3:12" x14ac:dyDescent="0.25">
      <c r="C39" s="304" t="s">
        <v>1338</v>
      </c>
      <c r="D39" s="158">
        <v>1</v>
      </c>
      <c r="E39" s="96">
        <f>HLOOKUP($C39,$CB$2:$CE$3,2,0)</f>
        <v>15000</v>
      </c>
      <c r="F39" s="697">
        <f>D39*E39</f>
        <v>15000</v>
      </c>
      <c r="G39" s="165" t="s">
        <v>1691</v>
      </c>
      <c r="H39" s="98" t="s">
        <v>1013</v>
      </c>
      <c r="I39" s="98" t="str">
        <f>VLOOKUP(H39,Presupuesto!$B$11:$C$565,2,0)</f>
        <v>EQUIPO DE COMPUTACION</v>
      </c>
      <c r="J39" s="218" t="s">
        <v>1363</v>
      </c>
      <c r="K39" s="98" t="s">
        <v>393</v>
      </c>
      <c r="L39" s="98"/>
    </row>
    <row r="40" spans="3:12" x14ac:dyDescent="0.25">
      <c r="C40" s="99" t="s">
        <v>35</v>
      </c>
      <c r="D40" s="151">
        <v>1</v>
      </c>
      <c r="E40" s="100">
        <v>13000</v>
      </c>
      <c r="F40" s="697">
        <f t="shared" ref="F40" si="2">D40*E40</f>
        <v>13000</v>
      </c>
      <c r="G40" s="165" t="s">
        <v>1691</v>
      </c>
      <c r="H40" s="101" t="s">
        <v>999</v>
      </c>
      <c r="I40" s="101" t="str">
        <f>VLOOKUP(H40,Presupuesto!$B$11:$C$565,2,0)</f>
        <v>EQUIPO DE TRANSPORTE TRACCION Y ELEVACION</v>
      </c>
      <c r="J40" s="98" t="str">
        <f t="shared" ref="J40" si="3">$J$39</f>
        <v>Gestión Administrativa y  financiera en apoyo al Desarrollo Académico</v>
      </c>
      <c r="K40" s="98" t="s">
        <v>394</v>
      </c>
      <c r="L40" s="98"/>
    </row>
    <row r="42" spans="3:12" ht="15.75" thickBot="1" x14ac:dyDescent="0.3"/>
    <row r="43" spans="3:12" ht="15.75" thickBot="1" x14ac:dyDescent="0.3">
      <c r="C43" s="29" t="s">
        <v>43</v>
      </c>
      <c r="D43" s="108">
        <f>SUM(F50:F50)</f>
        <v>8000</v>
      </c>
      <c r="F43" s="70"/>
      <c r="G43" s="79"/>
      <c r="H43" s="70"/>
      <c r="I43" s="70"/>
    </row>
    <row r="44" spans="3:12" x14ac:dyDescent="0.25">
      <c r="C44" s="70"/>
      <c r="D44" s="31"/>
      <c r="E44" s="93"/>
      <c r="F44" s="93"/>
      <c r="G44" s="93"/>
      <c r="H44" s="76"/>
      <c r="I44" s="76"/>
      <c r="J44" s="76"/>
      <c r="K44" s="112"/>
    </row>
    <row r="45" spans="3:12" x14ac:dyDescent="0.25">
      <c r="C45" s="70"/>
      <c r="D45" s="31"/>
      <c r="E45" s="93"/>
      <c r="F45" s="93"/>
      <c r="G45" s="93"/>
      <c r="H45" s="76"/>
      <c r="I45" s="76"/>
      <c r="J45" s="76"/>
      <c r="K45" s="112"/>
    </row>
    <row r="46" spans="3:12" ht="15.75" x14ac:dyDescent="0.25">
      <c r="C46" s="202" t="s">
        <v>391</v>
      </c>
      <c r="D46" s="368" t="s">
        <v>2021</v>
      </c>
      <c r="E46" s="93"/>
      <c r="F46" s="93"/>
      <c r="G46" s="93"/>
      <c r="H46" s="76"/>
      <c r="I46" s="76"/>
      <c r="J46" s="76"/>
      <c r="K46" s="112"/>
    </row>
    <row r="47" spans="3:12" ht="18.75" x14ac:dyDescent="0.25">
      <c r="C47" s="210" t="str">
        <f>IFERROR(VLOOKUP(D46,'1. Desarrollo e Innov. Curricu.'!$F:$G,2,FALSE),IFERROR(VLOOKUP(D46,'2. Investigación Científica'!$F:$G,2,FALSE),IFERROR(VLOOKUP(D46,'3. Vinculación Univ. Sociedad'!$F:$G,2,FALSE),IFERROR(VLOOKUP(D46,'4. Docencia y Profesorado Univ.'!$F:$G,2,FALSE),IFERROR(VLOOKUP(D46,'5. Estudiantes y Graduados'!$F:$G,2,FALSE),IFERROR(VLOOKUP(D46,'11. Gestion Administrativa'!$F:$G,2,FALSE),IFERROR(VLOOKUP(D46,'13. Gestión Académica'!$F:$G,2,FALSE),IFERROR(VLOOKUP(D46,'9. Asegura. de la Calid. y M'!$F:$G,2,FALSE),IFERROR(VLOOKUP(D46,'6. Gestión del Conocimiento'!$F:$G,2,FALSE),IFERROR(VLOOKUP(D46,'15. Gobernabilidad y Proceso...'!$F:$G,2,FALSE),IFERROR(VLOOKUP(D46,'12. Gestión del Talento Humano'!$F:$G,2,FALSE),IFERROR(VLOOKUP(D46,'14. Internacional... de la E.S.'!$F:$G,2,FALSE),IFERROR(VLOOKUP(D46,'10. Posgrado'!$F:$G,2,FALSE),IFERROR(VLOOKUP(D46,'16. Desa. del Sistema Educ.Sup.'!$F:$G,2,FALSE),IFERROR(VLOOKUP(D46,'8. Cultura de Inno. Insti...'!$F:$G,2,FALSE),VLOOKUP(D46,'7. Lo Esencial de la Reforma U.'!$F:$G,2,0))))))))))))))))</f>
        <v>Gestionar la adquisición de impresora, archivo (1).</v>
      </c>
      <c r="D47" s="31"/>
      <c r="E47" s="93"/>
      <c r="F47" s="93"/>
      <c r="G47" s="93"/>
      <c r="H47" s="76"/>
      <c r="I47" s="76"/>
      <c r="J47" s="76"/>
      <c r="K47" s="112"/>
    </row>
    <row r="48" spans="3:12" x14ac:dyDescent="0.25">
      <c r="F48" s="93"/>
      <c r="G48" s="76"/>
      <c r="H48" s="76"/>
      <c r="I48" s="76"/>
    </row>
    <row r="49" spans="3:12" ht="30" x14ac:dyDescent="0.25">
      <c r="C49" s="149" t="s">
        <v>44</v>
      </c>
      <c r="D49" s="149" t="s">
        <v>55</v>
      </c>
      <c r="E49" s="149" t="s">
        <v>57</v>
      </c>
      <c r="F49" s="150" t="s">
        <v>27</v>
      </c>
      <c r="G49" s="150" t="s">
        <v>130</v>
      </c>
      <c r="H49" s="149" t="s">
        <v>46</v>
      </c>
      <c r="I49" s="149" t="s">
        <v>131</v>
      </c>
      <c r="J49" s="149" t="s">
        <v>409</v>
      </c>
      <c r="K49" s="149" t="s">
        <v>410</v>
      </c>
      <c r="L49" s="149" t="s">
        <v>463</v>
      </c>
    </row>
    <row r="50" spans="3:12" x14ac:dyDescent="0.25">
      <c r="C50" s="99" t="s">
        <v>74</v>
      </c>
      <c r="D50" s="151">
        <v>1</v>
      </c>
      <c r="E50" s="100">
        <v>8000</v>
      </c>
      <c r="F50" s="697">
        <f t="shared" ref="F50" si="4">D50*E50</f>
        <v>8000</v>
      </c>
      <c r="G50" s="165" t="s">
        <v>1691</v>
      </c>
      <c r="H50" s="101" t="s">
        <v>1013</v>
      </c>
      <c r="I50" s="101" t="str">
        <f>VLOOKUP(H50,Presupuesto!$B$11:$C$565,2,0)</f>
        <v>EQUIPO DE COMPUTACION</v>
      </c>
      <c r="J50" s="98" t="s">
        <v>1363</v>
      </c>
      <c r="K50" s="98" t="s">
        <v>396</v>
      </c>
      <c r="L50" s="98"/>
    </row>
    <row r="51" spans="3:12" x14ac:dyDescent="0.25">
      <c r="F51" s="93"/>
      <c r="G51" s="76"/>
      <c r="H51" s="76"/>
      <c r="I51" s="76"/>
    </row>
    <row r="52" spans="3:12" ht="15.75" thickBot="1" x14ac:dyDescent="0.3"/>
    <row r="53" spans="3:12" ht="15.75" thickBot="1" x14ac:dyDescent="0.3">
      <c r="C53" s="29" t="s">
        <v>43</v>
      </c>
      <c r="D53" s="108">
        <f>SUM(F60:F62)</f>
        <v>42500</v>
      </c>
      <c r="F53" s="70"/>
      <c r="G53" s="79"/>
      <c r="H53" s="70"/>
      <c r="I53" s="70"/>
    </row>
    <row r="54" spans="3:12" x14ac:dyDescent="0.25">
      <c r="C54" s="70"/>
      <c r="D54" s="31"/>
      <c r="E54" s="93"/>
      <c r="F54" s="93"/>
      <c r="G54" s="93"/>
      <c r="H54" s="76"/>
      <c r="I54" s="76"/>
      <c r="J54" s="76"/>
      <c r="K54" s="112"/>
    </row>
    <row r="55" spans="3:12" x14ac:dyDescent="0.25">
      <c r="C55" s="70"/>
      <c r="D55" s="31"/>
      <c r="E55" s="93"/>
      <c r="F55" s="93"/>
      <c r="G55" s="93"/>
      <c r="H55" s="76"/>
      <c r="I55" s="76"/>
      <c r="J55" s="76"/>
      <c r="K55" s="112"/>
    </row>
    <row r="56" spans="3:12" ht="15.75" x14ac:dyDescent="0.25">
      <c r="C56" s="202" t="s">
        <v>391</v>
      </c>
      <c r="D56" s="368" t="s">
        <v>2111</v>
      </c>
      <c r="E56" s="93"/>
      <c r="F56" s="93"/>
      <c r="G56" s="93"/>
      <c r="H56" s="76"/>
      <c r="I56" s="76"/>
      <c r="J56" s="76"/>
      <c r="K56" s="112"/>
    </row>
    <row r="57" spans="3:12" ht="18.75" x14ac:dyDescent="0.25">
      <c r="C57" s="210" t="str">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Posgrado'!$F:$G,2,FALSE),IFERROR(VLOOKUP(D56,'16. Desa. del Sistema Educ.Sup.'!$F:$G,2,FALSE),IFERROR(VLOOKUP(D56,'8. Cultura de Inno. Insti...'!$F:$G,2,FALSE),VLOOKUP(D56,'7. Lo Esencial de la Reforma U.'!$F:$G,2,0))))))))))))))))</f>
        <v xml:space="preserve">Gestión de equipo audiovisual y equipo de oficina para la carrera de Enfermeria  </v>
      </c>
      <c r="D57" s="31"/>
      <c r="E57" s="93"/>
      <c r="F57" s="93"/>
      <c r="G57" s="93"/>
      <c r="H57" s="76"/>
      <c r="I57" s="76"/>
      <c r="J57" s="76"/>
      <c r="K57" s="112"/>
    </row>
    <row r="58" spans="3:12" x14ac:dyDescent="0.25">
      <c r="F58" s="93"/>
      <c r="G58" s="76"/>
      <c r="H58" s="76"/>
      <c r="I58" s="76"/>
    </row>
    <row r="59" spans="3:12" ht="30.75" thickBot="1" x14ac:dyDescent="0.3">
      <c r="C59" s="149" t="s">
        <v>44</v>
      </c>
      <c r="D59" s="149" t="s">
        <v>55</v>
      </c>
      <c r="E59" s="149" t="s">
        <v>57</v>
      </c>
      <c r="F59" s="150" t="s">
        <v>27</v>
      </c>
      <c r="G59" s="150" t="s">
        <v>130</v>
      </c>
      <c r="H59" s="149" t="s">
        <v>46</v>
      </c>
      <c r="I59" s="149" t="s">
        <v>131</v>
      </c>
      <c r="J59" s="149" t="s">
        <v>409</v>
      </c>
      <c r="K59" s="149" t="s">
        <v>410</v>
      </c>
      <c r="L59" s="149" t="s">
        <v>463</v>
      </c>
    </row>
    <row r="60" spans="3:12" x14ac:dyDescent="0.25">
      <c r="C60" s="304" t="s">
        <v>1338</v>
      </c>
      <c r="D60" s="158">
        <v>1</v>
      </c>
      <c r="E60" s="96">
        <f>HLOOKUP($C60,$CB$2:$CE$3,2,0)</f>
        <v>15000</v>
      </c>
      <c r="F60" s="697">
        <f>D60*E60</f>
        <v>15000</v>
      </c>
      <c r="G60" s="165" t="s">
        <v>1691</v>
      </c>
      <c r="H60" s="98" t="s">
        <v>1013</v>
      </c>
      <c r="I60" s="98" t="str">
        <f>VLOOKUP(H60,Presupuesto!$B$11:$C$565,2,0)</f>
        <v>EQUIPO DE COMPUTACION</v>
      </c>
      <c r="J60" s="218" t="s">
        <v>1363</v>
      </c>
      <c r="K60" s="98" t="s">
        <v>396</v>
      </c>
      <c r="L60" s="98"/>
    </row>
    <row r="61" spans="3:12" x14ac:dyDescent="0.25">
      <c r="C61" s="99" t="s">
        <v>35</v>
      </c>
      <c r="D61" s="151">
        <v>2</v>
      </c>
      <c r="E61" s="100">
        <v>13000</v>
      </c>
      <c r="F61" s="697">
        <f t="shared" ref="F61:F62" si="5">D61*E61</f>
        <v>26000</v>
      </c>
      <c r="G61" s="165" t="s">
        <v>1691</v>
      </c>
      <c r="H61" s="101" t="s">
        <v>999</v>
      </c>
      <c r="I61" s="101" t="str">
        <f>VLOOKUP(H61,Presupuesto!$B$11:$C$565,2,0)</f>
        <v>EQUIPO DE TRANSPORTE TRACCION Y ELEVACION</v>
      </c>
      <c r="J61" s="98" t="str">
        <f t="shared" ref="J61:J62" si="6">$J$60</f>
        <v>Gestión Administrativa y  financiera en apoyo al Desarrollo Académico</v>
      </c>
      <c r="K61" s="98" t="s">
        <v>396</v>
      </c>
      <c r="L61" s="98"/>
    </row>
    <row r="62" spans="3:12" x14ac:dyDescent="0.25">
      <c r="C62" s="172" t="s">
        <v>1474</v>
      </c>
      <c r="D62" s="614">
        <v>1</v>
      </c>
      <c r="E62" s="615">
        <v>1500</v>
      </c>
      <c r="F62" s="698">
        <f t="shared" si="5"/>
        <v>1500</v>
      </c>
      <c r="G62" s="165" t="s">
        <v>1691</v>
      </c>
      <c r="H62" s="548" t="s">
        <v>945</v>
      </c>
      <c r="I62" s="548" t="str">
        <f>VLOOKUP(H62,Presupuesto!$B$11:$C$565,2,0)</f>
        <v>UTILES Y MATERIALES ELECTRICOS</v>
      </c>
      <c r="J62" s="98" t="str">
        <f t="shared" si="6"/>
        <v>Gestión Administrativa y  financiera en apoyo al Desarrollo Académico</v>
      </c>
      <c r="K62" s="98" t="s">
        <v>396</v>
      </c>
      <c r="L62" s="98"/>
    </row>
    <row r="63" spans="3:12" x14ac:dyDescent="0.25">
      <c r="F63" s="93"/>
      <c r="G63" s="76"/>
      <c r="H63" s="76"/>
      <c r="I63" s="76"/>
    </row>
    <row r="64" spans="3:12" ht="15.75" thickBot="1" x14ac:dyDescent="0.3"/>
    <row r="65" spans="3:12" ht="15.75" thickBot="1" x14ac:dyDescent="0.3">
      <c r="C65" s="29" t="s">
        <v>43</v>
      </c>
      <c r="D65" s="108">
        <f>SUM(F72:F80)</f>
        <v>225100</v>
      </c>
      <c r="F65" s="70"/>
      <c r="G65" s="79"/>
      <c r="H65" s="70"/>
      <c r="I65" s="70"/>
    </row>
    <row r="66" spans="3:12" x14ac:dyDescent="0.25">
      <c r="C66" s="70"/>
      <c r="D66" s="31"/>
      <c r="E66" s="93"/>
      <c r="F66" s="93"/>
      <c r="G66" s="93"/>
      <c r="H66" s="76"/>
      <c r="I66" s="76"/>
      <c r="J66" s="76"/>
      <c r="K66" s="112"/>
    </row>
    <row r="67" spans="3:12" x14ac:dyDescent="0.25">
      <c r="C67" s="70"/>
      <c r="D67" s="31"/>
      <c r="E67" s="93"/>
      <c r="F67" s="93"/>
      <c r="G67" s="93"/>
      <c r="H67" s="76"/>
      <c r="I67" s="76"/>
      <c r="J67" s="76"/>
      <c r="K67" s="112"/>
    </row>
    <row r="68" spans="3:12" ht="15.75" x14ac:dyDescent="0.25">
      <c r="C68" s="202" t="s">
        <v>391</v>
      </c>
      <c r="D68" s="368" t="s">
        <v>2354</v>
      </c>
      <c r="E68" s="93"/>
      <c r="F68" s="93"/>
      <c r="G68" s="93"/>
      <c r="H68" s="76"/>
      <c r="I68" s="76"/>
      <c r="J68" s="76"/>
      <c r="K68" s="112"/>
    </row>
    <row r="69" spans="3:12" ht="18.75" x14ac:dyDescent="0.25">
      <c r="C69" s="210" t="str">
        <f>IFERROR(VLOOKUP(D68,'1. Desarrollo e Innov. Curricu.'!$F:$G,2,FALSE),IFERROR(VLOOKUP(D68,'2. Investigación Científica'!$F:$G,2,FALSE),IFERROR(VLOOKUP(D68,'3. Vinculación Univ. Sociedad'!$F:$G,2,FALSE),IFERROR(VLOOKUP(D68,'4. Docencia y Profesorado Univ.'!$F:$G,2,FALSE),IFERROR(VLOOKUP(D68,'5. Estudiantes y Graduados'!$F:$G,2,FALSE),IFERROR(VLOOKUP(D68,'11. Gestion Administrativa'!$F:$G,2,FALSE),IFERROR(VLOOKUP(D68,'13. Gestión Académica'!$F:$G,2,FALSE),IFERROR(VLOOKUP(D68,'9. Asegura. de la Calid. y M'!$F:$G,2,FALSE),IFERROR(VLOOKUP(D68,'6. Gestión del Conocimiento'!$F:$G,2,FALSE),IFERROR(VLOOKUP(D68,'15. Gobernabilidad y Proceso...'!$F:$G,2,FALSE),IFERROR(VLOOKUP(D68,'12. Gestión del Talento Humano'!$F:$G,2,FALSE),IFERROR(VLOOKUP(D68,'14. Internacional... de la E.S.'!$F:$G,2,FALSE),IFERROR(VLOOKUP(D68,'10. Posgrado'!$F:$G,2,FALSE),IFERROR(VLOOKUP(D68,'16. Desa. del Sistema Educ.Sup.'!$F:$G,2,FALSE),IFERROR(VLOOKUP(D68,'8. Cultura de Inno. Insti...'!$F:$G,2,FALSE),VLOOKUP(D68,'7. Lo Esencial de la Reforma U.'!$F:$G,2,0))))))))))))))))</f>
        <v xml:space="preserve">Gestionar Equipamiento area adminsitrativa, biblioteca, aula de ajedrez </v>
      </c>
      <c r="D69" s="31"/>
      <c r="E69" s="93"/>
      <c r="F69" s="93"/>
      <c r="G69" s="93"/>
      <c r="H69" s="76"/>
      <c r="I69" s="76"/>
      <c r="J69" s="76"/>
      <c r="K69" s="112"/>
    </row>
    <row r="70" spans="3:12" x14ac:dyDescent="0.25">
      <c r="F70" s="93"/>
      <c r="G70" s="76"/>
      <c r="H70" s="76"/>
      <c r="I70" s="76"/>
    </row>
    <row r="71" spans="3:12" ht="30" x14ac:dyDescent="0.25">
      <c r="C71" s="655" t="s">
        <v>44</v>
      </c>
      <c r="D71" s="655" t="s">
        <v>55</v>
      </c>
      <c r="E71" s="655" t="s">
        <v>57</v>
      </c>
      <c r="F71" s="656" t="s">
        <v>27</v>
      </c>
      <c r="G71" s="656" t="s">
        <v>130</v>
      </c>
      <c r="H71" s="655" t="s">
        <v>46</v>
      </c>
      <c r="I71" s="655" t="s">
        <v>131</v>
      </c>
      <c r="J71" s="655" t="s">
        <v>409</v>
      </c>
      <c r="K71" s="655" t="s">
        <v>410</v>
      </c>
      <c r="L71" s="655" t="s">
        <v>463</v>
      </c>
    </row>
    <row r="72" spans="3:12" x14ac:dyDescent="0.25">
      <c r="C72" s="657" t="s">
        <v>1338</v>
      </c>
      <c r="D72" s="614">
        <v>0</v>
      </c>
      <c r="E72" s="615">
        <f>HLOOKUP($C72,$CB$2:$CE$3,2,0)</f>
        <v>15000</v>
      </c>
      <c r="F72" s="615">
        <f>D72*E72</f>
        <v>0</v>
      </c>
      <c r="G72" s="165" t="s">
        <v>1691</v>
      </c>
      <c r="H72" s="548" t="s">
        <v>1013</v>
      </c>
      <c r="I72" s="548" t="str">
        <f>VLOOKUP(H72,Presupuesto!$B$11:$C$565,2,0)</f>
        <v>EQUIPO DE COMPUTACION</v>
      </c>
      <c r="J72" s="658" t="s">
        <v>1363</v>
      </c>
      <c r="K72" s="548" t="s">
        <v>393</v>
      </c>
      <c r="L72" s="548"/>
    </row>
    <row r="73" spans="3:12" x14ac:dyDescent="0.25">
      <c r="C73" s="657" t="s">
        <v>1336</v>
      </c>
      <c r="D73" s="614"/>
      <c r="E73" s="615">
        <f>HLOOKUP($C73,$CB$2:$CE$3,2,0)</f>
        <v>35000</v>
      </c>
      <c r="F73" s="615">
        <f>D73*E73</f>
        <v>0</v>
      </c>
      <c r="G73" s="165" t="s">
        <v>1691</v>
      </c>
      <c r="H73" s="548" t="s">
        <v>1013</v>
      </c>
      <c r="I73" s="548" t="str">
        <f>VLOOKUP(H73,Presupuesto!$B$11:$C$565,2,0)</f>
        <v>EQUIPO DE COMPUTACION</v>
      </c>
      <c r="J73" s="548" t="str">
        <f>$J$72</f>
        <v>Gestión Administrativa y  financiera en apoyo al Desarrollo Académico</v>
      </c>
      <c r="K73" s="548" t="s">
        <v>411</v>
      </c>
      <c r="L73" s="548"/>
    </row>
    <row r="74" spans="3:12" x14ac:dyDescent="0.25">
      <c r="C74" s="536" t="s">
        <v>74</v>
      </c>
      <c r="D74" s="614">
        <v>2</v>
      </c>
      <c r="E74" s="615">
        <v>8000</v>
      </c>
      <c r="F74" s="698">
        <f t="shared" ref="F74:F77" si="7">D74*E74</f>
        <v>16000</v>
      </c>
      <c r="G74" s="165" t="s">
        <v>1691</v>
      </c>
      <c r="H74" s="548" t="s">
        <v>1013</v>
      </c>
      <c r="I74" s="548" t="str">
        <f>VLOOKUP(H74,Presupuesto!$B$11:$C$565,2,0)</f>
        <v>EQUIPO DE COMPUTACION</v>
      </c>
      <c r="J74" s="548" t="str">
        <f t="shared" ref="J74:J80" si="8">$J$72</f>
        <v>Gestión Administrativa y  financiera en apoyo al Desarrollo Académico</v>
      </c>
      <c r="K74" s="548" t="s">
        <v>394</v>
      </c>
      <c r="L74" s="548"/>
    </row>
    <row r="75" spans="3:12" s="465" customFormat="1" x14ac:dyDescent="0.25">
      <c r="C75" s="536" t="s">
        <v>2629</v>
      </c>
      <c r="D75" s="614">
        <v>1</v>
      </c>
      <c r="E75" s="615">
        <v>103000</v>
      </c>
      <c r="F75" s="698">
        <f t="shared" ref="F75:F76" si="9">D75*E75</f>
        <v>103000</v>
      </c>
      <c r="G75" s="165" t="s">
        <v>1691</v>
      </c>
      <c r="H75" s="548" t="s">
        <v>1013</v>
      </c>
      <c r="I75" s="548" t="str">
        <f>VLOOKUP(H75,Presupuesto!$B$11:$C$565,2,0)</f>
        <v>EQUIPO DE COMPUTACION</v>
      </c>
      <c r="J75" s="548" t="str">
        <f t="shared" si="8"/>
        <v>Gestión Administrativa y  financiera en apoyo al Desarrollo Académico</v>
      </c>
      <c r="K75" s="548" t="s">
        <v>394</v>
      </c>
      <c r="L75" s="548"/>
    </row>
    <row r="76" spans="3:12" s="465" customFormat="1" x14ac:dyDescent="0.25">
      <c r="C76" s="536" t="s">
        <v>2630</v>
      </c>
      <c r="D76" s="614">
        <v>1</v>
      </c>
      <c r="E76" s="615">
        <v>70000</v>
      </c>
      <c r="F76" s="698">
        <f t="shared" si="9"/>
        <v>70000</v>
      </c>
      <c r="G76" s="165" t="s">
        <v>1691</v>
      </c>
      <c r="H76" s="548" t="s">
        <v>1013</v>
      </c>
      <c r="I76" s="548" t="str">
        <f>VLOOKUP(H76,Presupuesto!$B$11:$C$565,2,0)</f>
        <v>EQUIPO DE COMPUTACION</v>
      </c>
      <c r="J76" s="548" t="str">
        <f t="shared" si="8"/>
        <v>Gestión Administrativa y  financiera en apoyo al Desarrollo Académico</v>
      </c>
      <c r="K76" s="548" t="s">
        <v>394</v>
      </c>
      <c r="L76" s="548"/>
    </row>
    <row r="77" spans="3:12" x14ac:dyDescent="0.25">
      <c r="C77" s="536" t="s">
        <v>2363</v>
      </c>
      <c r="D77" s="614">
        <v>1</v>
      </c>
      <c r="E77" s="615">
        <v>6500</v>
      </c>
      <c r="F77" s="698">
        <f t="shared" si="7"/>
        <v>6500</v>
      </c>
      <c r="G77" s="165" t="s">
        <v>1691</v>
      </c>
      <c r="H77" s="548" t="s">
        <v>1013</v>
      </c>
      <c r="I77" s="548" t="str">
        <f>VLOOKUP(H77,Presupuesto!$B$11:$C$565,2,0)</f>
        <v>EQUIPO DE COMPUTACION</v>
      </c>
      <c r="J77" s="548" t="str">
        <f t="shared" si="8"/>
        <v>Gestión Administrativa y  financiera en apoyo al Desarrollo Académico</v>
      </c>
      <c r="K77" s="548" t="s">
        <v>394</v>
      </c>
      <c r="L77" s="548"/>
    </row>
    <row r="78" spans="3:12" x14ac:dyDescent="0.25">
      <c r="C78" s="536" t="s">
        <v>2364</v>
      </c>
      <c r="D78" s="614">
        <v>1</v>
      </c>
      <c r="E78" s="615">
        <v>7200</v>
      </c>
      <c r="F78" s="698">
        <f>D78*E78</f>
        <v>7200</v>
      </c>
      <c r="G78" s="165" t="s">
        <v>1691</v>
      </c>
      <c r="H78" s="548" t="s">
        <v>1013</v>
      </c>
      <c r="I78" s="548" t="str">
        <f>VLOOKUP(H78,Presupuesto!$B$11:$C$565,2,0)</f>
        <v>EQUIPO DE COMPUTACION</v>
      </c>
      <c r="J78" s="548" t="str">
        <f t="shared" si="8"/>
        <v>Gestión Administrativa y  financiera en apoyo al Desarrollo Académico</v>
      </c>
      <c r="K78" s="548" t="s">
        <v>394</v>
      </c>
      <c r="L78" s="548"/>
    </row>
    <row r="79" spans="3:12" x14ac:dyDescent="0.25">
      <c r="C79" s="536" t="s">
        <v>2365</v>
      </c>
      <c r="D79" s="614">
        <v>2</v>
      </c>
      <c r="E79" s="615">
        <v>3700</v>
      </c>
      <c r="F79" s="698">
        <f>D79*E79</f>
        <v>7400</v>
      </c>
      <c r="G79" s="165" t="s">
        <v>1691</v>
      </c>
      <c r="H79" s="548" t="s">
        <v>1013</v>
      </c>
      <c r="I79" s="548" t="str">
        <f>VLOOKUP(H79,Presupuesto!$B$11:$C$565,2,0)</f>
        <v>EQUIPO DE COMPUTACION</v>
      </c>
      <c r="J79" s="548" t="str">
        <f t="shared" si="8"/>
        <v>Gestión Administrativa y  financiera en apoyo al Desarrollo Académico</v>
      </c>
      <c r="K79" s="548" t="s">
        <v>394</v>
      </c>
      <c r="L79" s="548"/>
    </row>
    <row r="80" spans="3:12" x14ac:dyDescent="0.25">
      <c r="C80" s="536" t="s">
        <v>1474</v>
      </c>
      <c r="D80" s="614">
        <v>10</v>
      </c>
      <c r="E80" s="615">
        <v>1500</v>
      </c>
      <c r="F80" s="698">
        <f>D80*E80</f>
        <v>15000</v>
      </c>
      <c r="G80" s="165" t="s">
        <v>1691</v>
      </c>
      <c r="H80" s="548" t="s">
        <v>945</v>
      </c>
      <c r="I80" s="548" t="str">
        <f>VLOOKUP(H80,Presupuesto!$B$11:$C$565,2,0)</f>
        <v>UTILES Y MATERIALES ELECTRICOS</v>
      </c>
      <c r="J80" s="548" t="str">
        <f t="shared" si="8"/>
        <v>Gestión Administrativa y  financiera en apoyo al Desarrollo Académico</v>
      </c>
      <c r="K80" s="548" t="s">
        <v>402</v>
      </c>
      <c r="L80" s="548"/>
    </row>
    <row r="81" spans="3:12" x14ac:dyDescent="0.25">
      <c r="F81" s="93"/>
      <c r="G81" s="76"/>
      <c r="H81" s="76"/>
      <c r="I81" s="76"/>
    </row>
    <row r="82" spans="3:12" ht="15.75" thickBot="1" x14ac:dyDescent="0.3"/>
    <row r="83" spans="3:12" ht="15.75" thickBot="1" x14ac:dyDescent="0.3">
      <c r="C83" s="29" t="s">
        <v>43</v>
      </c>
      <c r="D83" s="108">
        <f>SUM(F90:F103)</f>
        <v>0</v>
      </c>
      <c r="F83" s="70"/>
      <c r="G83" s="79"/>
      <c r="H83" s="70"/>
      <c r="I83" s="70"/>
    </row>
    <row r="84" spans="3:12" x14ac:dyDescent="0.25">
      <c r="C84" s="70"/>
      <c r="D84" s="31"/>
      <c r="E84" s="93"/>
      <c r="F84" s="93"/>
      <c r="G84" s="93"/>
      <c r="H84" s="76"/>
      <c r="I84" s="76"/>
      <c r="J84" s="76"/>
      <c r="K84" s="112"/>
    </row>
    <row r="85" spans="3:12" x14ac:dyDescent="0.25">
      <c r="C85" s="70"/>
      <c r="D85" s="31"/>
      <c r="E85" s="93"/>
      <c r="F85" s="93"/>
      <c r="G85" s="93"/>
      <c r="H85" s="76"/>
      <c r="I85" s="76"/>
      <c r="J85" s="76"/>
      <c r="K85" s="112"/>
    </row>
    <row r="86" spans="3:12" ht="15.75" x14ac:dyDescent="0.25">
      <c r="C86" s="202" t="s">
        <v>391</v>
      </c>
      <c r="D86" s="368"/>
      <c r="E86" s="93"/>
      <c r="F86" s="93"/>
      <c r="G86" s="93"/>
      <c r="H86" s="76"/>
      <c r="I86" s="76"/>
      <c r="J86" s="76"/>
      <c r="K86" s="112"/>
    </row>
    <row r="87" spans="3:12" ht="18.75" x14ac:dyDescent="0.25">
      <c r="C87" s="210" t="e">
        <f>IFERROR(VLOOKUP(D86,'1. Desarrollo e Innov. Curricu.'!$F:$G,2,FALSE),IFERROR(VLOOKUP(D86,'2. Investigación Científica'!$F:$G,2,FALSE),IFERROR(VLOOKUP(D86,'3. Vinculación Univ. Sociedad'!$F:$G,2,FALSE),IFERROR(VLOOKUP(D86,'4. Docencia y Profesorado Univ.'!$F:$G,2,FALSE),IFERROR(VLOOKUP(D86,'5. Estudiantes y Graduados'!$F:$G,2,FALSE),IFERROR(VLOOKUP(D86,'11. Gestion Administrativa'!$F:$G,2,FALSE),IFERROR(VLOOKUP(D86,'13. Gestión Académica'!$F:$G,2,FALSE),IFERROR(VLOOKUP(D86,'9. Asegura. de la Calid. y M'!$F:$G,2,FALSE),IFERROR(VLOOKUP(D86,'6. Gestión del Conocimiento'!$F:$G,2,FALSE),IFERROR(VLOOKUP(D86,'15. Gobernabilidad y Proceso...'!$F:$G,2,FALSE),IFERROR(VLOOKUP(D86,'12. Gestión del Talento Humano'!$F:$G,2,FALSE),IFERROR(VLOOKUP(D86,'14. Internacional... de la E.S.'!$F:$G,2,FALSE),IFERROR(VLOOKUP(D86,'10. Posgrado'!$F:$G,2,FALSE),IFERROR(VLOOKUP(D86,'16. Desa. del Sistema Educ.Sup.'!$F:$G,2,FALSE),IFERROR(VLOOKUP(D86,'8. Cultura de Inno. Insti...'!$F:$G,2,FALSE),VLOOKUP(D86,'7. Lo Esencial de la Reforma U.'!$F:$G,2,0))))))))))))))))</f>
        <v>#N/A</v>
      </c>
      <c r="D87" s="31"/>
      <c r="E87" s="93"/>
      <c r="F87" s="93"/>
      <c r="G87" s="93"/>
      <c r="H87" s="76"/>
      <c r="I87" s="76"/>
      <c r="J87" s="76"/>
      <c r="K87" s="112"/>
    </row>
    <row r="88" spans="3:12" x14ac:dyDescent="0.25">
      <c r="F88" s="93"/>
      <c r="G88" s="76"/>
      <c r="H88" s="76"/>
      <c r="I88" s="76"/>
    </row>
    <row r="89" spans="3:12" ht="30.75" thickBot="1" x14ac:dyDescent="0.3">
      <c r="C89" s="149" t="s">
        <v>44</v>
      </c>
      <c r="D89" s="149" t="s">
        <v>55</v>
      </c>
      <c r="E89" s="149" t="s">
        <v>57</v>
      </c>
      <c r="F89" s="150" t="s">
        <v>27</v>
      </c>
      <c r="G89" s="150" t="s">
        <v>130</v>
      </c>
      <c r="H89" s="149" t="s">
        <v>46</v>
      </c>
      <c r="I89" s="149" t="s">
        <v>131</v>
      </c>
      <c r="J89" s="149" t="s">
        <v>409</v>
      </c>
      <c r="K89" s="149" t="s">
        <v>410</v>
      </c>
      <c r="L89" s="149" t="s">
        <v>463</v>
      </c>
    </row>
    <row r="90" spans="3:12" ht="15.75" thickBot="1" x14ac:dyDescent="0.3">
      <c r="C90" s="304" t="s">
        <v>1338</v>
      </c>
      <c r="D90" s="158"/>
      <c r="E90" s="96">
        <f>HLOOKUP($C90,$CB$2:$CE$3,2,0)</f>
        <v>15000</v>
      </c>
      <c r="F90" s="97">
        <f t="shared" ref="F90:F103" si="10">D90*E90</f>
        <v>0</v>
      </c>
      <c r="G90" s="165"/>
      <c r="H90" s="98" t="s">
        <v>1013</v>
      </c>
      <c r="I90" s="98" t="str">
        <f>VLOOKUP(H90,Presupuesto!$B$11:$C$565,2,0)</f>
        <v>EQUIPO DE COMPUTACION</v>
      </c>
      <c r="J90" s="218" t="s">
        <v>1449</v>
      </c>
      <c r="K90" s="98" t="s">
        <v>393</v>
      </c>
      <c r="L90" s="98"/>
    </row>
    <row r="91" spans="3:12" x14ac:dyDescent="0.25">
      <c r="C91" s="304" t="s">
        <v>1336</v>
      </c>
      <c r="D91" s="151"/>
      <c r="E91" s="96">
        <f>HLOOKUP($C91,$CB$2:$CE$3,2,0)</f>
        <v>35000</v>
      </c>
      <c r="F91" s="97">
        <f t="shared" si="10"/>
        <v>0</v>
      </c>
      <c r="G91" s="165"/>
      <c r="H91" s="101" t="s">
        <v>1013</v>
      </c>
      <c r="I91" s="101" t="str">
        <f>VLOOKUP(H91,Presupuesto!$B$11:$C$565,2,0)</f>
        <v>EQUIPO DE COMPUTACION</v>
      </c>
      <c r="J91" s="98" t="str">
        <f>$J$90</f>
        <v>Posgrado</v>
      </c>
      <c r="K91" s="98" t="s">
        <v>411</v>
      </c>
      <c r="L91" s="98"/>
    </row>
    <row r="92" spans="3:12" x14ac:dyDescent="0.25">
      <c r="C92" s="99" t="s">
        <v>73</v>
      </c>
      <c r="D92" s="151"/>
      <c r="E92" s="100">
        <v>4000</v>
      </c>
      <c r="F92" s="97">
        <f t="shared" si="10"/>
        <v>0</v>
      </c>
      <c r="G92" s="165"/>
      <c r="H92" s="101" t="s">
        <v>985</v>
      </c>
      <c r="I92" s="101" t="str">
        <f>VLOOKUP(H92,Presupuesto!$B$11:$C$565,2,0)</f>
        <v>EQUIPOS VARIOS DE OFICINA</v>
      </c>
      <c r="J92" s="98" t="str">
        <f t="shared" ref="J92:J103" si="11">$J$90</f>
        <v>Posgrado</v>
      </c>
      <c r="K92" s="98" t="s">
        <v>394</v>
      </c>
      <c r="L92" s="98"/>
    </row>
    <row r="93" spans="3:12" x14ac:dyDescent="0.25">
      <c r="C93" s="99" t="s">
        <v>74</v>
      </c>
      <c r="D93" s="151"/>
      <c r="E93" s="100">
        <v>8000</v>
      </c>
      <c r="F93" s="97">
        <f t="shared" si="10"/>
        <v>0</v>
      </c>
      <c r="G93" s="165"/>
      <c r="H93" s="101" t="s">
        <v>1013</v>
      </c>
      <c r="I93" s="101" t="str">
        <f>VLOOKUP(H93,Presupuesto!$B$11:$C$565,2,0)</f>
        <v>EQUIPO DE COMPUTACION</v>
      </c>
      <c r="J93" s="98" t="str">
        <f t="shared" si="11"/>
        <v>Posgrado</v>
      </c>
      <c r="K93" s="98" t="s">
        <v>394</v>
      </c>
      <c r="L93" s="98"/>
    </row>
    <row r="94" spans="3:12" x14ac:dyDescent="0.25">
      <c r="C94" s="99" t="s">
        <v>75</v>
      </c>
      <c r="D94" s="151"/>
      <c r="E94" s="100">
        <v>5000</v>
      </c>
      <c r="F94" s="97">
        <f t="shared" si="10"/>
        <v>0</v>
      </c>
      <c r="G94" s="165"/>
      <c r="H94" s="101" t="s">
        <v>1013</v>
      </c>
      <c r="I94" s="101" t="str">
        <f>VLOOKUP(H94,Presupuesto!$B$11:$C$565,2,0)</f>
        <v>EQUIPO DE COMPUTACION</v>
      </c>
      <c r="J94" s="98" t="str">
        <f t="shared" si="11"/>
        <v>Posgrado</v>
      </c>
      <c r="K94" s="98" t="s">
        <v>394</v>
      </c>
      <c r="L94" s="98"/>
    </row>
    <row r="95" spans="3:12" x14ac:dyDescent="0.25">
      <c r="C95" s="99" t="s">
        <v>35</v>
      </c>
      <c r="D95" s="151"/>
      <c r="E95" s="100">
        <v>13000</v>
      </c>
      <c r="F95" s="97">
        <f t="shared" si="10"/>
        <v>0</v>
      </c>
      <c r="G95" s="165"/>
      <c r="H95" s="101" t="s">
        <v>999</v>
      </c>
      <c r="I95" s="101" t="str">
        <f>VLOOKUP(H95,Presupuesto!$B$11:$C$565,2,0)</f>
        <v>EQUIPO DE TRANSPORTE TRACCION Y ELEVACION</v>
      </c>
      <c r="J95" s="98" t="str">
        <f t="shared" si="11"/>
        <v>Posgrado</v>
      </c>
      <c r="K95" s="98" t="s">
        <v>394</v>
      </c>
      <c r="L95" s="98"/>
    </row>
    <row r="96" spans="3:12" x14ac:dyDescent="0.25">
      <c r="C96" s="99" t="s">
        <v>76</v>
      </c>
      <c r="D96" s="151"/>
      <c r="E96" s="100">
        <v>15000</v>
      </c>
      <c r="F96" s="97">
        <f t="shared" si="10"/>
        <v>0</v>
      </c>
      <c r="G96" s="165"/>
      <c r="H96" s="101" t="s">
        <v>999</v>
      </c>
      <c r="I96" s="101" t="str">
        <f>VLOOKUP(H96,Presupuesto!$B$11:$C$565,2,0)</f>
        <v>EQUIPO DE TRANSPORTE TRACCION Y ELEVACION</v>
      </c>
      <c r="J96" s="98" t="str">
        <f t="shared" si="11"/>
        <v>Posgrado</v>
      </c>
      <c r="K96" s="98" t="s">
        <v>394</v>
      </c>
      <c r="L96" s="98"/>
    </row>
    <row r="97" spans="3:12" x14ac:dyDescent="0.25">
      <c r="C97" s="99" t="s">
        <v>77</v>
      </c>
      <c r="D97" s="151"/>
      <c r="E97" s="100">
        <v>10000</v>
      </c>
      <c r="F97" s="97">
        <f t="shared" si="10"/>
        <v>0</v>
      </c>
      <c r="G97" s="165"/>
      <c r="H97" s="101" t="s">
        <v>999</v>
      </c>
      <c r="I97" s="101" t="str">
        <f>VLOOKUP(H97,Presupuesto!$B$11:$C$565,2,0)</f>
        <v>EQUIPO DE TRANSPORTE TRACCION Y ELEVACION</v>
      </c>
      <c r="J97" s="98" t="str">
        <f t="shared" si="11"/>
        <v>Posgrado</v>
      </c>
      <c r="K97" s="98" t="s">
        <v>402</v>
      </c>
      <c r="L97" s="98"/>
    </row>
    <row r="98" spans="3:12" x14ac:dyDescent="0.25">
      <c r="C98" s="99" t="s">
        <v>78</v>
      </c>
      <c r="D98" s="151"/>
      <c r="E98" s="100">
        <v>10000</v>
      </c>
      <c r="F98" s="97">
        <f t="shared" si="10"/>
        <v>0</v>
      </c>
      <c r="G98" s="165"/>
      <c r="H98" s="101" t="s">
        <v>1045</v>
      </c>
      <c r="I98" s="101" t="str">
        <f>VLOOKUP(H98,Presupuesto!$B$11:$C$565,2,0)</f>
        <v>APLICACIONES INFORMATICAS</v>
      </c>
      <c r="J98" s="98" t="str">
        <f t="shared" si="11"/>
        <v>Posgrado</v>
      </c>
      <c r="K98" s="98" t="s">
        <v>398</v>
      </c>
      <c r="L98" s="98"/>
    </row>
    <row r="99" spans="3:12" x14ac:dyDescent="0.25">
      <c r="C99" s="109" t="s">
        <v>79</v>
      </c>
      <c r="D99" s="151"/>
      <c r="E99" s="100">
        <v>2000</v>
      </c>
      <c r="F99" s="97">
        <f t="shared" si="10"/>
        <v>0</v>
      </c>
      <c r="G99" s="165"/>
      <c r="H99" s="110" t="s">
        <v>1013</v>
      </c>
      <c r="I99" s="110" t="str">
        <f>VLOOKUP(H99,Presupuesto!$B$11:$C$565,2,0)</f>
        <v>EQUIPO DE COMPUTACION</v>
      </c>
      <c r="J99" s="98" t="str">
        <f t="shared" si="11"/>
        <v>Posgrado</v>
      </c>
      <c r="K99" s="98" t="s">
        <v>394</v>
      </c>
      <c r="L99" s="98"/>
    </row>
    <row r="100" spans="3:12" x14ac:dyDescent="0.25">
      <c r="C100" s="109" t="s">
        <v>1474</v>
      </c>
      <c r="D100" s="151"/>
      <c r="E100" s="100">
        <v>1500</v>
      </c>
      <c r="F100" s="97">
        <f t="shared" si="10"/>
        <v>0</v>
      </c>
      <c r="G100" s="165"/>
      <c r="H100" s="110" t="s">
        <v>945</v>
      </c>
      <c r="I100" s="110" t="str">
        <f>VLOOKUP(H100,Presupuesto!$B$11:$C$565,2,0)</f>
        <v>UTILES Y MATERIALES ELECTRICOS</v>
      </c>
      <c r="J100" s="98" t="str">
        <f t="shared" si="11"/>
        <v>Posgrado</v>
      </c>
      <c r="K100" s="98" t="s">
        <v>394</v>
      </c>
      <c r="L100" s="98"/>
    </row>
    <row r="101" spans="3:12" x14ac:dyDescent="0.25">
      <c r="C101" s="109" t="s">
        <v>80</v>
      </c>
      <c r="D101" s="151"/>
      <c r="E101" s="100">
        <v>1500</v>
      </c>
      <c r="F101" s="97">
        <f t="shared" si="10"/>
        <v>0</v>
      </c>
      <c r="G101" s="165"/>
      <c r="H101" s="110" t="s">
        <v>1013</v>
      </c>
      <c r="I101" s="110" t="str">
        <f>VLOOKUP(H101,Presupuesto!$B$11:$C$565,2,0)</f>
        <v>EQUIPO DE COMPUTACION</v>
      </c>
      <c r="J101" s="98" t="str">
        <f t="shared" si="11"/>
        <v>Posgrado</v>
      </c>
      <c r="K101" s="98" t="s">
        <v>394</v>
      </c>
      <c r="L101" s="98"/>
    </row>
    <row r="102" spans="3:12" x14ac:dyDescent="0.25">
      <c r="C102" s="109" t="s">
        <v>81</v>
      </c>
      <c r="D102" s="151"/>
      <c r="E102" s="100">
        <v>500</v>
      </c>
      <c r="F102" s="97">
        <f t="shared" si="10"/>
        <v>0</v>
      </c>
      <c r="G102" s="165"/>
      <c r="H102" s="110" t="s">
        <v>954</v>
      </c>
      <c r="I102" s="110" t="str">
        <f>VLOOKUP(H102,Presupuesto!$B$11:$C$565,2,0)</f>
        <v>OTROS RESPUESTOS Y ACCESORIOS MENORES</v>
      </c>
      <c r="J102" s="98" t="str">
        <f t="shared" si="11"/>
        <v>Posgrado</v>
      </c>
      <c r="K102" s="98" t="s">
        <v>394</v>
      </c>
      <c r="L102" s="98"/>
    </row>
    <row r="103" spans="3:12" ht="15.75" thickBot="1" x14ac:dyDescent="0.3">
      <c r="C103" s="102" t="s">
        <v>82</v>
      </c>
      <c r="D103" s="159"/>
      <c r="E103" s="104">
        <v>20</v>
      </c>
      <c r="F103" s="105">
        <f t="shared" si="10"/>
        <v>0</v>
      </c>
      <c r="G103" s="162"/>
      <c r="H103" s="106" t="s">
        <v>954</v>
      </c>
      <c r="I103" s="106" t="str">
        <f>VLOOKUP(H103,Presupuesto!$B$11:$C$565,2,0)</f>
        <v>OTROS RESPUESTOS Y ACCESORIOS MENORES</v>
      </c>
      <c r="J103" s="106" t="str">
        <f t="shared" si="11"/>
        <v>Posgrado</v>
      </c>
      <c r="K103" s="124" t="s">
        <v>393</v>
      </c>
      <c r="L103" s="124"/>
    </row>
    <row r="104" spans="3:12" x14ac:dyDescent="0.25">
      <c r="F104" s="93"/>
      <c r="G104" s="76"/>
      <c r="H104" s="76"/>
      <c r="I104" s="76"/>
    </row>
    <row r="105" spans="3:12" ht="15.75" thickBot="1" x14ac:dyDescent="0.3"/>
    <row r="106" spans="3:12" ht="15.75" thickBot="1" x14ac:dyDescent="0.3">
      <c r="C106" s="29" t="s">
        <v>43</v>
      </c>
      <c r="D106" s="108">
        <f>SUM(F113:F126)</f>
        <v>0</v>
      </c>
      <c r="F106" s="70"/>
      <c r="G106" s="79"/>
      <c r="H106" s="70"/>
      <c r="I106" s="70"/>
    </row>
    <row r="107" spans="3:12" x14ac:dyDescent="0.25">
      <c r="C107" s="70"/>
      <c r="D107" s="31"/>
      <c r="E107" s="93"/>
      <c r="F107" s="93"/>
      <c r="G107" s="93"/>
      <c r="H107" s="76"/>
      <c r="I107" s="76"/>
      <c r="J107" s="76"/>
      <c r="K107" s="112"/>
    </row>
    <row r="108" spans="3:12" x14ac:dyDescent="0.25">
      <c r="C108" s="70"/>
      <c r="D108" s="31"/>
      <c r="E108" s="93"/>
      <c r="F108" s="93"/>
      <c r="G108" s="93"/>
      <c r="H108" s="76"/>
      <c r="I108" s="76"/>
      <c r="J108" s="76"/>
      <c r="K108" s="112"/>
    </row>
    <row r="109" spans="3:12" ht="15.75" x14ac:dyDescent="0.25">
      <c r="C109" s="202" t="s">
        <v>391</v>
      </c>
      <c r="D109" s="368"/>
      <c r="E109" s="93"/>
      <c r="F109" s="93"/>
      <c r="G109" s="93"/>
      <c r="H109" s="76"/>
      <c r="I109" s="76"/>
      <c r="J109" s="76"/>
      <c r="K109" s="112"/>
    </row>
    <row r="110" spans="3:12" ht="18.75" x14ac:dyDescent="0.25">
      <c r="C110" s="210" t="e">
        <f>IFERROR(VLOOKUP(D109,'1. Desarrollo e Innov. Curricu.'!$F:$G,2,FALSE),IFERROR(VLOOKUP(D109,'2. Investigación Científica'!$F:$G,2,FALSE),IFERROR(VLOOKUP(D109,'3. Vinculación Univ. Sociedad'!$F:$G,2,FALSE),IFERROR(VLOOKUP(D109,'4. Docencia y Profesorado Univ.'!$F:$G,2,FALSE),IFERROR(VLOOKUP(D109,'5. Estudiantes y Graduados'!$F:$G,2,FALSE),IFERROR(VLOOKUP(D109,'11. Gestion Administrativa'!$F:$G,2,FALSE),IFERROR(VLOOKUP(D109,'13. Gestión Académica'!$F:$G,2,FALSE),IFERROR(VLOOKUP(D109,'9. Asegura. de la Calid. y M'!$F:$G,2,FALSE),IFERROR(VLOOKUP(D109,'6. Gestión del Conocimiento'!$F:$G,2,FALSE),IFERROR(VLOOKUP(D109,'15. Gobernabilidad y Proceso...'!$F:$G,2,FALSE),IFERROR(VLOOKUP(D109,'12. Gestión del Talento Humano'!$F:$G,2,FALSE),IFERROR(VLOOKUP(D109,'14. Internacional... de la E.S.'!$F:$G,2,FALSE),IFERROR(VLOOKUP(D109,'10. Posgrado'!$F:$G,2,FALSE),IFERROR(VLOOKUP(D109,'16. Desa. del Sistema Educ.Sup.'!$F:$G,2,FALSE),IFERROR(VLOOKUP(D109,'8. Cultura de Inno. Insti...'!$F:$G,2,FALSE),VLOOKUP(D109,'7. Lo Esencial de la Reforma U.'!$F:$G,2,0))))))))))))))))</f>
        <v>#N/A</v>
      </c>
      <c r="D110" s="31"/>
      <c r="E110" s="93"/>
      <c r="F110" s="93"/>
      <c r="G110" s="93"/>
      <c r="H110" s="76"/>
      <c r="I110" s="76"/>
      <c r="J110" s="76"/>
      <c r="K110" s="112"/>
    </row>
    <row r="111" spans="3:12" x14ac:dyDescent="0.25">
      <c r="F111" s="93"/>
      <c r="G111" s="76"/>
      <c r="H111" s="76"/>
      <c r="I111" s="76"/>
    </row>
    <row r="112" spans="3:12" ht="30.75" thickBot="1" x14ac:dyDescent="0.3">
      <c r="C112" s="149" t="s">
        <v>44</v>
      </c>
      <c r="D112" s="149" t="s">
        <v>55</v>
      </c>
      <c r="E112" s="149" t="s">
        <v>57</v>
      </c>
      <c r="F112" s="150" t="s">
        <v>27</v>
      </c>
      <c r="G112" s="150" t="s">
        <v>130</v>
      </c>
      <c r="H112" s="149" t="s">
        <v>46</v>
      </c>
      <c r="I112" s="149" t="s">
        <v>131</v>
      </c>
      <c r="J112" s="149" t="s">
        <v>409</v>
      </c>
      <c r="K112" s="149" t="s">
        <v>410</v>
      </c>
      <c r="L112" s="149" t="s">
        <v>463</v>
      </c>
    </row>
    <row r="113" spans="3:12" ht="15.75" thickBot="1" x14ac:dyDescent="0.3">
      <c r="C113" s="304" t="s">
        <v>1338</v>
      </c>
      <c r="D113" s="158"/>
      <c r="E113" s="96">
        <f>HLOOKUP($C113,$CB$2:$CE$3,2,0)</f>
        <v>15000</v>
      </c>
      <c r="F113" s="97">
        <f t="shared" ref="F113:F126" si="12">D113*E113</f>
        <v>0</v>
      </c>
      <c r="G113" s="165"/>
      <c r="H113" s="98" t="s">
        <v>1013</v>
      </c>
      <c r="I113" s="98" t="str">
        <f>VLOOKUP(H113,Presupuesto!$B$11:$C$565,2,0)</f>
        <v>EQUIPO DE COMPUTACION</v>
      </c>
      <c r="J113" s="218" t="s">
        <v>1471</v>
      </c>
      <c r="K113" s="98" t="s">
        <v>393</v>
      </c>
      <c r="L113" s="98"/>
    </row>
    <row r="114" spans="3:12" x14ac:dyDescent="0.25">
      <c r="C114" s="304" t="s">
        <v>1336</v>
      </c>
      <c r="D114" s="151"/>
      <c r="E114" s="96">
        <f>HLOOKUP($C114,$CB$2:$CE$3,2,0)</f>
        <v>35000</v>
      </c>
      <c r="F114" s="97">
        <f t="shared" si="12"/>
        <v>0</v>
      </c>
      <c r="G114" s="165"/>
      <c r="H114" s="101" t="s">
        <v>1013</v>
      </c>
      <c r="I114" s="101" t="str">
        <f>VLOOKUP(H114,Presupuesto!$B$11:$C$565,2,0)</f>
        <v>EQUIPO DE COMPUTACION</v>
      </c>
      <c r="J114" s="98" t="str">
        <f>$J$113</f>
        <v>Desarrollo del Sistema de Educación Superior</v>
      </c>
      <c r="K114" s="98" t="s">
        <v>411</v>
      </c>
      <c r="L114" s="98"/>
    </row>
    <row r="115" spans="3:12" x14ac:dyDescent="0.25">
      <c r="C115" s="99" t="s">
        <v>73</v>
      </c>
      <c r="D115" s="151"/>
      <c r="E115" s="100">
        <v>4000</v>
      </c>
      <c r="F115" s="97">
        <f t="shared" si="12"/>
        <v>0</v>
      </c>
      <c r="G115" s="165"/>
      <c r="H115" s="101" t="s">
        <v>985</v>
      </c>
      <c r="I115" s="101" t="str">
        <f>VLOOKUP(H115,Presupuesto!$B$11:$C$565,2,0)</f>
        <v>EQUIPOS VARIOS DE OFICINA</v>
      </c>
      <c r="J115" s="98" t="str">
        <f t="shared" ref="J115:J126" si="13">$J$113</f>
        <v>Desarrollo del Sistema de Educación Superior</v>
      </c>
      <c r="K115" s="98" t="s">
        <v>394</v>
      </c>
      <c r="L115" s="98"/>
    </row>
    <row r="116" spans="3:12" x14ac:dyDescent="0.25">
      <c r="C116" s="99" t="s">
        <v>74</v>
      </c>
      <c r="D116" s="151"/>
      <c r="E116" s="100">
        <v>8000</v>
      </c>
      <c r="F116" s="97">
        <f t="shared" si="12"/>
        <v>0</v>
      </c>
      <c r="G116" s="165"/>
      <c r="H116" s="101" t="s">
        <v>1013</v>
      </c>
      <c r="I116" s="101" t="str">
        <f>VLOOKUP(H116,Presupuesto!$B$11:$C$565,2,0)</f>
        <v>EQUIPO DE COMPUTACION</v>
      </c>
      <c r="J116" s="98" t="str">
        <f t="shared" si="13"/>
        <v>Desarrollo del Sistema de Educación Superior</v>
      </c>
      <c r="K116" s="98" t="s">
        <v>394</v>
      </c>
      <c r="L116" s="98"/>
    </row>
    <row r="117" spans="3:12" x14ac:dyDescent="0.25">
      <c r="C117" s="99" t="s">
        <v>75</v>
      </c>
      <c r="D117" s="151"/>
      <c r="E117" s="100">
        <v>5000</v>
      </c>
      <c r="F117" s="97">
        <f t="shared" si="12"/>
        <v>0</v>
      </c>
      <c r="G117" s="165"/>
      <c r="H117" s="101" t="s">
        <v>1013</v>
      </c>
      <c r="I117" s="101" t="str">
        <f>VLOOKUP(H117,Presupuesto!$B$11:$C$565,2,0)</f>
        <v>EQUIPO DE COMPUTACION</v>
      </c>
      <c r="J117" s="98" t="str">
        <f t="shared" si="13"/>
        <v>Desarrollo del Sistema de Educación Superior</v>
      </c>
      <c r="K117" s="98" t="s">
        <v>394</v>
      </c>
      <c r="L117" s="98"/>
    </row>
    <row r="118" spans="3:12" x14ac:dyDescent="0.25">
      <c r="C118" s="99" t="s">
        <v>35</v>
      </c>
      <c r="D118" s="151"/>
      <c r="E118" s="100">
        <v>13000</v>
      </c>
      <c r="F118" s="97">
        <f t="shared" si="12"/>
        <v>0</v>
      </c>
      <c r="G118" s="165"/>
      <c r="H118" s="101" t="s">
        <v>999</v>
      </c>
      <c r="I118" s="101" t="str">
        <f>VLOOKUP(H118,Presupuesto!$B$11:$C$565,2,0)</f>
        <v>EQUIPO DE TRANSPORTE TRACCION Y ELEVACION</v>
      </c>
      <c r="J118" s="98" t="str">
        <f t="shared" si="13"/>
        <v>Desarrollo del Sistema de Educación Superior</v>
      </c>
      <c r="K118" s="98" t="s">
        <v>394</v>
      </c>
      <c r="L118" s="98"/>
    </row>
    <row r="119" spans="3:12" x14ac:dyDescent="0.25">
      <c r="C119" s="99" t="s">
        <v>76</v>
      </c>
      <c r="D119" s="151"/>
      <c r="E119" s="100">
        <v>15000</v>
      </c>
      <c r="F119" s="97">
        <f t="shared" si="12"/>
        <v>0</v>
      </c>
      <c r="G119" s="165"/>
      <c r="H119" s="101" t="s">
        <v>999</v>
      </c>
      <c r="I119" s="101" t="str">
        <f>VLOOKUP(H119,Presupuesto!$B$11:$C$565,2,0)</f>
        <v>EQUIPO DE TRANSPORTE TRACCION Y ELEVACION</v>
      </c>
      <c r="J119" s="98" t="str">
        <f t="shared" si="13"/>
        <v>Desarrollo del Sistema de Educación Superior</v>
      </c>
      <c r="K119" s="98" t="s">
        <v>394</v>
      </c>
      <c r="L119" s="98"/>
    </row>
    <row r="120" spans="3:12" x14ac:dyDescent="0.25">
      <c r="C120" s="99" t="s">
        <v>77</v>
      </c>
      <c r="D120" s="151"/>
      <c r="E120" s="100">
        <v>10000</v>
      </c>
      <c r="F120" s="97">
        <f t="shared" si="12"/>
        <v>0</v>
      </c>
      <c r="G120" s="165"/>
      <c r="H120" s="101" t="s">
        <v>999</v>
      </c>
      <c r="I120" s="101" t="str">
        <f>VLOOKUP(H120,Presupuesto!$B$11:$C$565,2,0)</f>
        <v>EQUIPO DE TRANSPORTE TRACCION Y ELEVACION</v>
      </c>
      <c r="J120" s="98" t="str">
        <f t="shared" si="13"/>
        <v>Desarrollo del Sistema de Educación Superior</v>
      </c>
      <c r="K120" s="98" t="s">
        <v>402</v>
      </c>
      <c r="L120" s="98"/>
    </row>
    <row r="121" spans="3:12" x14ac:dyDescent="0.25">
      <c r="C121" s="99" t="s">
        <v>78</v>
      </c>
      <c r="D121" s="151"/>
      <c r="E121" s="100">
        <v>10000</v>
      </c>
      <c r="F121" s="97">
        <f t="shared" si="12"/>
        <v>0</v>
      </c>
      <c r="G121" s="165"/>
      <c r="H121" s="101" t="s">
        <v>1045</v>
      </c>
      <c r="I121" s="101" t="str">
        <f>VLOOKUP(H121,Presupuesto!$B$11:$C$565,2,0)</f>
        <v>APLICACIONES INFORMATICAS</v>
      </c>
      <c r="J121" s="98" t="str">
        <f t="shared" si="13"/>
        <v>Desarrollo del Sistema de Educación Superior</v>
      </c>
      <c r="K121" s="98" t="s">
        <v>398</v>
      </c>
      <c r="L121" s="98"/>
    </row>
    <row r="122" spans="3:12" x14ac:dyDescent="0.25">
      <c r="C122" s="109" t="s">
        <v>79</v>
      </c>
      <c r="D122" s="151"/>
      <c r="E122" s="100">
        <v>2000</v>
      </c>
      <c r="F122" s="97">
        <f t="shared" si="12"/>
        <v>0</v>
      </c>
      <c r="G122" s="165"/>
      <c r="H122" s="110" t="s">
        <v>1013</v>
      </c>
      <c r="I122" s="110" t="str">
        <f>VLOOKUP(H122,Presupuesto!$B$11:$C$565,2,0)</f>
        <v>EQUIPO DE COMPUTACION</v>
      </c>
      <c r="J122" s="98" t="str">
        <f t="shared" si="13"/>
        <v>Desarrollo del Sistema de Educación Superior</v>
      </c>
      <c r="K122" s="98" t="s">
        <v>394</v>
      </c>
      <c r="L122" s="98"/>
    </row>
    <row r="123" spans="3:12" x14ac:dyDescent="0.25">
      <c r="C123" s="109" t="s">
        <v>1474</v>
      </c>
      <c r="D123" s="151"/>
      <c r="E123" s="100">
        <v>1500</v>
      </c>
      <c r="F123" s="97">
        <f t="shared" si="12"/>
        <v>0</v>
      </c>
      <c r="G123" s="165"/>
      <c r="H123" s="110" t="s">
        <v>945</v>
      </c>
      <c r="I123" s="110" t="str">
        <f>VLOOKUP(H123,Presupuesto!$B$11:$C$565,2,0)</f>
        <v>UTILES Y MATERIALES ELECTRICOS</v>
      </c>
      <c r="J123" s="98" t="str">
        <f t="shared" si="13"/>
        <v>Desarrollo del Sistema de Educación Superior</v>
      </c>
      <c r="K123" s="98" t="s">
        <v>394</v>
      </c>
      <c r="L123" s="98"/>
    </row>
    <row r="124" spans="3:12" x14ac:dyDescent="0.25">
      <c r="C124" s="109" t="s">
        <v>80</v>
      </c>
      <c r="D124" s="151"/>
      <c r="E124" s="100">
        <v>1500</v>
      </c>
      <c r="F124" s="97">
        <f t="shared" si="12"/>
        <v>0</v>
      </c>
      <c r="G124" s="165"/>
      <c r="H124" s="110" t="s">
        <v>1013</v>
      </c>
      <c r="I124" s="110" t="str">
        <f>VLOOKUP(H124,Presupuesto!$B$11:$C$565,2,0)</f>
        <v>EQUIPO DE COMPUTACION</v>
      </c>
      <c r="J124" s="98" t="str">
        <f t="shared" si="13"/>
        <v>Desarrollo del Sistema de Educación Superior</v>
      </c>
      <c r="K124" s="98" t="s">
        <v>394</v>
      </c>
      <c r="L124" s="98"/>
    </row>
    <row r="125" spans="3:12" x14ac:dyDescent="0.25">
      <c r="C125" s="109" t="s">
        <v>81</v>
      </c>
      <c r="D125" s="151"/>
      <c r="E125" s="100">
        <v>500</v>
      </c>
      <c r="F125" s="97">
        <f t="shared" si="12"/>
        <v>0</v>
      </c>
      <c r="G125" s="165"/>
      <c r="H125" s="110" t="s">
        <v>954</v>
      </c>
      <c r="I125" s="110" t="str">
        <f>VLOOKUP(H125,Presupuesto!$B$11:$C$565,2,0)</f>
        <v>OTROS RESPUESTOS Y ACCESORIOS MENORES</v>
      </c>
      <c r="J125" s="98" t="str">
        <f t="shared" si="13"/>
        <v>Desarrollo del Sistema de Educación Superior</v>
      </c>
      <c r="K125" s="98" t="s">
        <v>394</v>
      </c>
      <c r="L125" s="98"/>
    </row>
    <row r="126" spans="3:12" ht="15.75" thickBot="1" x14ac:dyDescent="0.3">
      <c r="C126" s="102" t="s">
        <v>82</v>
      </c>
      <c r="D126" s="159"/>
      <c r="E126" s="104">
        <v>20</v>
      </c>
      <c r="F126" s="105">
        <f t="shared" si="12"/>
        <v>0</v>
      </c>
      <c r="G126" s="162"/>
      <c r="H126" s="106" t="s">
        <v>954</v>
      </c>
      <c r="I126" s="106" t="str">
        <f>VLOOKUP(H126,Presupuesto!$B$11:$C$565,2,0)</f>
        <v>OTROS RESPUESTOS Y ACCESORIOS MENORES</v>
      </c>
      <c r="J126" s="106" t="str">
        <f t="shared" si="13"/>
        <v>Desarrollo del Sistema de Educación Superior</v>
      </c>
      <c r="K126" s="124" t="s">
        <v>393</v>
      </c>
      <c r="L126"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90:G103 G113:G126 G17 G27:G28 G50 G60:G62 G39:G40 G72:G80">
      <formula1>$R$2:$S$2</formula1>
    </dataValidation>
    <dataValidation type="list" allowBlank="1" showInputMessage="1" showErrorMessage="1" errorTitle="¡Ingreso Inválido!" error="Seleccione una opción de la lista" promptTitle="Mes Requerido" prompt="Seleccione el mes en el que requiere el recurso." sqref="K90:K103 K113:K126 K17 K27:K28 K50 K60:K62 K39:K40 K72:K80">
      <formula1>$U$2:$AF$2</formula1>
    </dataValidation>
    <dataValidation type="list" allowBlank="1" showInputMessage="1" showErrorMessage="1" sqref="C27 C39 C60 C113:C114 C90:C91 C72:C73">
      <formula1>$CB$2:$CE$2</formula1>
    </dataValidation>
    <dataValidation type="list" allowBlank="1" showInputMessage="1" showErrorMessage="1" errorTitle="¡Ingreso Inválido!" error="Verifique el valor ingresado" promptTitle="Objeto de Gasto" prompt="Ingrese el Objeto de Gasto" sqref="H90:H103 H113:H126 H17 H27:H28 H50 H60:H62 H39:H40 H72:H80">
      <formula1>$A$1:$UI$1</formula1>
    </dataValidation>
    <dataValidation type="list" allowBlank="1" showInputMessage="1" showErrorMessage="1" errorTitle="¡Ingreso Inválido!" error="Seleccione una opción de la lista." promptTitle="Dimensión Estratégica" prompt="Seleccione una opción de la lista." sqref="J91:J103 J114:J126 J17 J28 J50 J61:J62 J40 J73:J80">
      <formula1>$A$2:$P$2</formula1>
    </dataValidation>
    <dataValidation type="list" allowBlank="1" showInputMessage="1" showErrorMessage="1" errorTitle="¡Ingreso Inválido!" error="Seleccione una opción de la lista." promptTitle="Dimensión Estratégica" prompt="Seleccione una opción de la lista." sqref="J27 J39 J60 J72 J90 J113">
      <formula1>$A$2:$Q$2</formula1>
    </dataValidation>
  </dataValidations>
  <pageMargins left="0.70866141732283472" right="0.70866141732283472" top="0.74803149606299213" bottom="0.74803149606299213" header="0.31496062992125984" footer="0.31496062992125984"/>
  <pageSetup scale="65" orientation="landscape"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57"/>
  <sheetViews>
    <sheetView showGridLines="0" tabSelected="1" topLeftCell="A724" zoomScale="85" zoomScaleNormal="85" workbookViewId="0">
      <selection activeCell="C450" sqref="C450"/>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1" t="s">
        <v>250</v>
      </c>
      <c r="B1" s="472" t="s">
        <v>251</v>
      </c>
      <c r="C1" s="469" t="s">
        <v>252</v>
      </c>
      <c r="D1" s="469" t="s">
        <v>495</v>
      </c>
      <c r="E1" s="469" t="s">
        <v>497</v>
      </c>
      <c r="F1" s="469" t="s">
        <v>499</v>
      </c>
      <c r="G1" s="469" t="s">
        <v>501</v>
      </c>
      <c r="H1" s="469" t="s">
        <v>503</v>
      </c>
      <c r="I1" s="469" t="s">
        <v>505</v>
      </c>
      <c r="J1" s="469" t="s">
        <v>253</v>
      </c>
      <c r="K1" s="469" t="s">
        <v>508</v>
      </c>
      <c r="L1" s="469" t="s">
        <v>254</v>
      </c>
      <c r="M1" s="469" t="s">
        <v>510</v>
      </c>
      <c r="N1" s="469" t="s">
        <v>512</v>
      </c>
      <c r="O1" s="469" t="s">
        <v>514</v>
      </c>
      <c r="P1" s="469" t="s">
        <v>255</v>
      </c>
      <c r="Q1" s="469" t="s">
        <v>515</v>
      </c>
      <c r="R1" s="469" t="s">
        <v>518</v>
      </c>
      <c r="S1" s="469" t="s">
        <v>256</v>
      </c>
      <c r="T1" s="469" t="s">
        <v>520</v>
      </c>
      <c r="U1" s="469" t="s">
        <v>257</v>
      </c>
      <c r="V1" s="469" t="s">
        <v>521</v>
      </c>
      <c r="W1" s="469" t="s">
        <v>522</v>
      </c>
      <c r="X1" s="469" t="s">
        <v>526</v>
      </c>
      <c r="Y1" s="469" t="s">
        <v>273</v>
      </c>
      <c r="Z1" s="469" t="s">
        <v>527</v>
      </c>
      <c r="AA1" s="469" t="s">
        <v>529</v>
      </c>
      <c r="AB1" s="469" t="s">
        <v>531</v>
      </c>
      <c r="AC1" s="469" t="s">
        <v>274</v>
      </c>
      <c r="AD1" s="469" t="s">
        <v>533</v>
      </c>
      <c r="AE1" s="469" t="s">
        <v>535</v>
      </c>
      <c r="AF1" s="469" t="s">
        <v>537</v>
      </c>
      <c r="AG1" s="469" t="s">
        <v>539</v>
      </c>
      <c r="AH1" s="469" t="s">
        <v>249</v>
      </c>
      <c r="AI1" s="469" t="s">
        <v>541</v>
      </c>
      <c r="AJ1" s="472" t="s">
        <v>258</v>
      </c>
      <c r="AK1" s="469" t="s">
        <v>543</v>
      </c>
      <c r="AL1" s="469" t="s">
        <v>259</v>
      </c>
      <c r="AM1" s="469" t="s">
        <v>545</v>
      </c>
      <c r="AN1" s="469" t="s">
        <v>547</v>
      </c>
      <c r="AO1" s="469" t="s">
        <v>260</v>
      </c>
      <c r="AP1" s="469" t="s">
        <v>549</v>
      </c>
      <c r="AQ1" s="469" t="s">
        <v>551</v>
      </c>
      <c r="AR1" s="469" t="s">
        <v>261</v>
      </c>
      <c r="AS1" s="469" t="s">
        <v>552</v>
      </c>
      <c r="AT1" s="469" t="s">
        <v>554</v>
      </c>
      <c r="AU1" s="469" t="s">
        <v>555</v>
      </c>
      <c r="AV1" s="469" t="s">
        <v>556</v>
      </c>
      <c r="AW1" s="469" t="s">
        <v>558</v>
      </c>
      <c r="AX1" s="469" t="s">
        <v>560</v>
      </c>
      <c r="AY1" s="469" t="s">
        <v>561</v>
      </c>
      <c r="AZ1" s="469" t="s">
        <v>262</v>
      </c>
      <c r="BA1" s="469" t="s">
        <v>563</v>
      </c>
      <c r="BB1" s="469" t="s">
        <v>565</v>
      </c>
      <c r="BC1" s="469" t="s">
        <v>567</v>
      </c>
      <c r="BD1" s="469" t="s">
        <v>569</v>
      </c>
      <c r="BE1" s="469" t="s">
        <v>571</v>
      </c>
      <c r="BF1" s="469" t="s">
        <v>573</v>
      </c>
      <c r="BG1" s="469" t="s">
        <v>575</v>
      </c>
      <c r="BH1" s="469" t="s">
        <v>577</v>
      </c>
      <c r="BI1" s="469" t="s">
        <v>275</v>
      </c>
      <c r="BJ1" s="469" t="s">
        <v>579</v>
      </c>
      <c r="BK1" s="469" t="s">
        <v>581</v>
      </c>
      <c r="BL1" s="469" t="s">
        <v>583</v>
      </c>
      <c r="BM1" s="469" t="s">
        <v>585</v>
      </c>
      <c r="BN1" s="469" t="s">
        <v>587</v>
      </c>
      <c r="BO1" s="469" t="s">
        <v>589</v>
      </c>
      <c r="BP1" s="469" t="s">
        <v>591</v>
      </c>
      <c r="BQ1" s="469" t="s">
        <v>593</v>
      </c>
      <c r="BR1" s="469" t="s">
        <v>595</v>
      </c>
      <c r="BS1" s="469" t="s">
        <v>597</v>
      </c>
      <c r="BT1" s="472" t="s">
        <v>263</v>
      </c>
      <c r="BU1" s="469" t="s">
        <v>264</v>
      </c>
      <c r="BV1" s="469" t="s">
        <v>599</v>
      </c>
      <c r="BW1" s="469" t="s">
        <v>265</v>
      </c>
      <c r="BX1" s="469" t="s">
        <v>601</v>
      </c>
      <c r="BY1" s="469" t="s">
        <v>603</v>
      </c>
      <c r="BZ1" s="472" t="s">
        <v>266</v>
      </c>
      <c r="CA1" s="469" t="s">
        <v>267</v>
      </c>
      <c r="CB1" s="469" t="s">
        <v>605</v>
      </c>
      <c r="CC1" s="469" t="s">
        <v>268</v>
      </c>
      <c r="CD1" s="469" t="s">
        <v>607</v>
      </c>
      <c r="CE1" s="469" t="s">
        <v>609</v>
      </c>
      <c r="CF1" s="469" t="s">
        <v>611</v>
      </c>
      <c r="CG1" s="472" t="s">
        <v>269</v>
      </c>
      <c r="CH1" s="469" t="s">
        <v>617</v>
      </c>
      <c r="CI1" s="469" t="s">
        <v>619</v>
      </c>
      <c r="CJ1" s="469" t="s">
        <v>270</v>
      </c>
      <c r="CK1" s="469" t="s">
        <v>613</v>
      </c>
      <c r="CL1" s="469" t="s">
        <v>615</v>
      </c>
      <c r="CM1" s="469" t="s">
        <v>271</v>
      </c>
      <c r="CN1" s="469" t="s">
        <v>621</v>
      </c>
      <c r="CO1" s="469" t="s">
        <v>272</v>
      </c>
      <c r="CP1" s="469" t="s">
        <v>622</v>
      </c>
      <c r="CQ1" s="468" t="s">
        <v>276</v>
      </c>
      <c r="CR1" s="472" t="s">
        <v>277</v>
      </c>
      <c r="CS1" s="469" t="s">
        <v>623</v>
      </c>
      <c r="CT1" s="469" t="s">
        <v>624</v>
      </c>
      <c r="CU1" s="469" t="s">
        <v>626</v>
      </c>
      <c r="CV1" s="469" t="s">
        <v>278</v>
      </c>
      <c r="CW1" s="469" t="s">
        <v>628</v>
      </c>
      <c r="CX1" s="469" t="s">
        <v>630</v>
      </c>
      <c r="CY1" s="469" t="s">
        <v>632</v>
      </c>
      <c r="CZ1" s="469" t="s">
        <v>634</v>
      </c>
      <c r="DA1" s="469" t="s">
        <v>636</v>
      </c>
      <c r="DB1" s="469" t="s">
        <v>638</v>
      </c>
      <c r="DC1" s="472" t="s">
        <v>279</v>
      </c>
      <c r="DD1" s="469" t="s">
        <v>280</v>
      </c>
      <c r="DE1" s="469" t="s">
        <v>640</v>
      </c>
      <c r="DF1" s="469" t="s">
        <v>281</v>
      </c>
      <c r="DG1" s="469" t="s">
        <v>642</v>
      </c>
      <c r="DH1" s="469" t="s">
        <v>644</v>
      </c>
      <c r="DI1" s="469" t="s">
        <v>646</v>
      </c>
      <c r="DJ1" s="469" t="s">
        <v>648</v>
      </c>
      <c r="DK1" s="469" t="s">
        <v>650</v>
      </c>
      <c r="DL1" s="469" t="s">
        <v>652</v>
      </c>
      <c r="DM1" s="469" t="s">
        <v>654</v>
      </c>
      <c r="DN1" s="469" t="s">
        <v>282</v>
      </c>
      <c r="DO1" s="469" t="s">
        <v>656</v>
      </c>
      <c r="DP1" s="469" t="s">
        <v>658</v>
      </c>
      <c r="DQ1" s="469" t="s">
        <v>660</v>
      </c>
      <c r="DR1" s="472" t="s">
        <v>283</v>
      </c>
      <c r="DS1" s="469" t="s">
        <v>662</v>
      </c>
      <c r="DT1" s="469" t="s">
        <v>284</v>
      </c>
      <c r="DU1" s="469" t="s">
        <v>664</v>
      </c>
      <c r="DV1" s="469" t="s">
        <v>285</v>
      </c>
      <c r="DW1" s="469" t="s">
        <v>666</v>
      </c>
      <c r="DX1" s="469" t="s">
        <v>668</v>
      </c>
      <c r="DY1" s="469" t="s">
        <v>670</v>
      </c>
      <c r="DZ1" s="469" t="s">
        <v>672</v>
      </c>
      <c r="EA1" s="469" t="s">
        <v>674</v>
      </c>
      <c r="EB1" s="469" t="s">
        <v>676</v>
      </c>
      <c r="EC1" s="469" t="s">
        <v>678</v>
      </c>
      <c r="ED1" s="469" t="s">
        <v>680</v>
      </c>
      <c r="EE1" s="469" t="s">
        <v>682</v>
      </c>
      <c r="EF1" s="469" t="s">
        <v>684</v>
      </c>
      <c r="EG1" s="469" t="s">
        <v>686</v>
      </c>
      <c r="EH1" s="472" t="s">
        <v>286</v>
      </c>
      <c r="EI1" s="469" t="s">
        <v>688</v>
      </c>
      <c r="EJ1" s="469" t="s">
        <v>287</v>
      </c>
      <c r="EK1" s="469" t="s">
        <v>690</v>
      </c>
      <c r="EL1" s="469" t="s">
        <v>692</v>
      </c>
      <c r="EM1" s="469" t="s">
        <v>288</v>
      </c>
      <c r="EN1" s="469" t="s">
        <v>694</v>
      </c>
      <c r="EO1" s="469" t="s">
        <v>696</v>
      </c>
      <c r="EP1" s="469" t="s">
        <v>289</v>
      </c>
      <c r="EQ1" s="469" t="s">
        <v>698</v>
      </c>
      <c r="ER1" s="469" t="s">
        <v>700</v>
      </c>
      <c r="ES1" s="469" t="s">
        <v>702</v>
      </c>
      <c r="ET1" s="469" t="s">
        <v>290</v>
      </c>
      <c r="EU1" s="469" t="s">
        <v>704</v>
      </c>
      <c r="EV1" s="469" t="s">
        <v>706</v>
      </c>
      <c r="EW1" s="472" t="s">
        <v>291</v>
      </c>
      <c r="EX1" s="469" t="s">
        <v>292</v>
      </c>
      <c r="EY1" s="469" t="s">
        <v>708</v>
      </c>
      <c r="EZ1" s="469" t="s">
        <v>710</v>
      </c>
      <c r="FA1" s="469" t="s">
        <v>712</v>
      </c>
      <c r="FB1" s="469" t="s">
        <v>714</v>
      </c>
      <c r="FC1" s="469" t="s">
        <v>293</v>
      </c>
      <c r="FD1" s="469" t="s">
        <v>716</v>
      </c>
      <c r="FE1" s="469" t="s">
        <v>718</v>
      </c>
      <c r="FF1" s="469" t="s">
        <v>720</v>
      </c>
      <c r="FG1" s="469" t="s">
        <v>722</v>
      </c>
      <c r="FH1" s="469" t="s">
        <v>724</v>
      </c>
      <c r="FI1" s="469" t="s">
        <v>294</v>
      </c>
      <c r="FJ1" s="469" t="s">
        <v>727</v>
      </c>
      <c r="FK1" s="469" t="s">
        <v>295</v>
      </c>
      <c r="FL1" s="469" t="s">
        <v>730</v>
      </c>
      <c r="FM1" s="469" t="s">
        <v>731</v>
      </c>
      <c r="FN1" s="469" t="s">
        <v>733</v>
      </c>
      <c r="FO1" s="469" t="s">
        <v>296</v>
      </c>
      <c r="FP1" s="469" t="s">
        <v>736</v>
      </c>
      <c r="FQ1" s="469" t="s">
        <v>737</v>
      </c>
      <c r="FR1" s="469" t="s">
        <v>739</v>
      </c>
      <c r="FS1" s="469" t="s">
        <v>297</v>
      </c>
      <c r="FT1" s="469" t="s">
        <v>742</v>
      </c>
      <c r="FU1" s="469" t="s">
        <v>744</v>
      </c>
      <c r="FV1" s="469" t="s">
        <v>746</v>
      </c>
      <c r="FW1" s="472" t="s">
        <v>298</v>
      </c>
      <c r="FX1" s="472" t="s">
        <v>299</v>
      </c>
      <c r="FY1" s="469" t="s">
        <v>305</v>
      </c>
      <c r="FZ1" s="469" t="s">
        <v>748</v>
      </c>
      <c r="GA1" s="469" t="s">
        <v>750</v>
      </c>
      <c r="GB1" s="469" t="s">
        <v>752</v>
      </c>
      <c r="GC1" s="469" t="s">
        <v>754</v>
      </c>
      <c r="GD1" s="469" t="s">
        <v>756</v>
      </c>
      <c r="GE1" s="469" t="s">
        <v>758</v>
      </c>
      <c r="GF1" s="472" t="s">
        <v>300</v>
      </c>
      <c r="GG1" s="469" t="s">
        <v>306</v>
      </c>
      <c r="GH1" s="469" t="s">
        <v>760</v>
      </c>
      <c r="GI1" s="469" t="s">
        <v>762</v>
      </c>
      <c r="GJ1" s="469" t="s">
        <v>763</v>
      </c>
      <c r="GK1" s="469" t="s">
        <v>307</v>
      </c>
      <c r="GL1" s="469" t="s">
        <v>766</v>
      </c>
      <c r="GM1" s="469" t="s">
        <v>767</v>
      </c>
      <c r="GN1" s="472" t="s">
        <v>301</v>
      </c>
      <c r="GO1" s="469" t="s">
        <v>302</v>
      </c>
      <c r="GP1" s="469" t="s">
        <v>769</v>
      </c>
      <c r="GQ1" s="469" t="s">
        <v>771</v>
      </c>
      <c r="GR1" s="469" t="s">
        <v>773</v>
      </c>
      <c r="GS1" s="469" t="s">
        <v>775</v>
      </c>
      <c r="GT1" s="469" t="s">
        <v>777</v>
      </c>
      <c r="GU1" s="472" t="s">
        <v>303</v>
      </c>
      <c r="GV1" s="469" t="s">
        <v>304</v>
      </c>
      <c r="GW1" s="469" t="s">
        <v>779</v>
      </c>
      <c r="GX1" s="469" t="s">
        <v>781</v>
      </c>
      <c r="GY1" s="469" t="s">
        <v>783</v>
      </c>
      <c r="GZ1" s="469" t="s">
        <v>785</v>
      </c>
      <c r="HA1" s="469" t="s">
        <v>787</v>
      </c>
      <c r="HB1" s="469" t="s">
        <v>789</v>
      </c>
      <c r="HC1" s="468" t="s">
        <v>308</v>
      </c>
      <c r="HD1" s="472" t="s">
        <v>309</v>
      </c>
      <c r="HE1" s="469" t="s">
        <v>310</v>
      </c>
      <c r="HF1" s="469" t="s">
        <v>791</v>
      </c>
      <c r="HG1" s="469" t="s">
        <v>793</v>
      </c>
      <c r="HH1" s="469" t="s">
        <v>795</v>
      </c>
      <c r="HI1" s="469" t="s">
        <v>797</v>
      </c>
      <c r="HJ1" s="469" t="s">
        <v>311</v>
      </c>
      <c r="HK1" s="469" t="s">
        <v>800</v>
      </c>
      <c r="HL1" s="469" t="s">
        <v>328</v>
      </c>
      <c r="HM1" s="469" t="s">
        <v>838</v>
      </c>
      <c r="HN1" s="469" t="s">
        <v>840</v>
      </c>
      <c r="HO1" s="469" t="s">
        <v>842</v>
      </c>
      <c r="HP1" s="472" t="s">
        <v>312</v>
      </c>
      <c r="HQ1" s="469" t="s">
        <v>802</v>
      </c>
      <c r="HR1" s="469" t="s">
        <v>804</v>
      </c>
      <c r="HS1" s="469" t="s">
        <v>313</v>
      </c>
      <c r="HT1" s="469" t="s">
        <v>807</v>
      </c>
      <c r="HU1" s="469" t="s">
        <v>809</v>
      </c>
      <c r="HV1" s="469" t="s">
        <v>810</v>
      </c>
      <c r="HW1" s="469" t="s">
        <v>812</v>
      </c>
      <c r="HX1" s="472" t="s">
        <v>314</v>
      </c>
      <c r="HY1" s="469" t="s">
        <v>814</v>
      </c>
      <c r="HZ1" s="469" t="s">
        <v>816</v>
      </c>
      <c r="IA1" s="469" t="s">
        <v>818</v>
      </c>
      <c r="IB1" s="469" t="s">
        <v>315</v>
      </c>
      <c r="IC1" s="469" t="s">
        <v>820</v>
      </c>
      <c r="ID1" s="469" t="s">
        <v>822</v>
      </c>
      <c r="IE1" s="469" t="s">
        <v>316</v>
      </c>
      <c r="IF1" s="469" t="s">
        <v>824</v>
      </c>
      <c r="IG1" s="469" t="s">
        <v>826</v>
      </c>
      <c r="IH1" s="469" t="s">
        <v>317</v>
      </c>
      <c r="II1" s="469" t="s">
        <v>828</v>
      </c>
      <c r="IJ1" s="469" t="s">
        <v>830</v>
      </c>
      <c r="IK1" s="469" t="s">
        <v>832</v>
      </c>
      <c r="IL1" s="469" t="s">
        <v>834</v>
      </c>
      <c r="IM1" s="469" t="s">
        <v>318</v>
      </c>
      <c r="IN1" s="469" t="s">
        <v>836</v>
      </c>
      <c r="IO1" s="472" t="s">
        <v>319</v>
      </c>
      <c r="IP1" s="469" t="s">
        <v>844</v>
      </c>
      <c r="IQ1" s="469" t="s">
        <v>846</v>
      </c>
      <c r="IR1" s="469" t="s">
        <v>320</v>
      </c>
      <c r="IS1" s="469" t="s">
        <v>848</v>
      </c>
      <c r="IT1" s="469" t="s">
        <v>850</v>
      </c>
      <c r="IU1" s="469" t="s">
        <v>852</v>
      </c>
      <c r="IV1" s="472" t="s">
        <v>321</v>
      </c>
      <c r="IW1" s="469" t="s">
        <v>854</v>
      </c>
      <c r="IX1" s="469" t="s">
        <v>322</v>
      </c>
      <c r="IY1" s="469" t="s">
        <v>857</v>
      </c>
      <c r="IZ1" s="469" t="s">
        <v>859</v>
      </c>
      <c r="JA1" s="469" t="s">
        <v>861</v>
      </c>
      <c r="JB1" s="469" t="s">
        <v>863</v>
      </c>
      <c r="JC1" s="469" t="s">
        <v>865</v>
      </c>
      <c r="JD1" s="469" t="s">
        <v>867</v>
      </c>
      <c r="JE1" s="469" t="s">
        <v>323</v>
      </c>
      <c r="JF1" s="469" t="s">
        <v>870</v>
      </c>
      <c r="JG1" s="469" t="s">
        <v>872</v>
      </c>
      <c r="JH1" s="469" t="s">
        <v>874</v>
      </c>
      <c r="JI1" s="469" t="s">
        <v>876</v>
      </c>
      <c r="JJ1" s="469" t="s">
        <v>878</v>
      </c>
      <c r="JK1" s="469" t="s">
        <v>880</v>
      </c>
      <c r="JL1" s="469" t="s">
        <v>882</v>
      </c>
      <c r="JM1" s="469" t="s">
        <v>884</v>
      </c>
      <c r="JN1" s="469" t="s">
        <v>324</v>
      </c>
      <c r="JO1" s="469" t="s">
        <v>887</v>
      </c>
      <c r="JP1" s="469" t="s">
        <v>889</v>
      </c>
      <c r="JQ1" s="469" t="s">
        <v>891</v>
      </c>
      <c r="JR1" s="469" t="s">
        <v>893</v>
      </c>
      <c r="JS1" s="469" t="s">
        <v>894</v>
      </c>
      <c r="JT1" s="469" t="s">
        <v>896</v>
      </c>
      <c r="JU1" s="469" t="s">
        <v>898</v>
      </c>
      <c r="JV1" s="469" t="s">
        <v>900</v>
      </c>
      <c r="JW1" s="469" t="s">
        <v>902</v>
      </c>
      <c r="JX1" s="469" t="s">
        <v>904</v>
      </c>
      <c r="JY1" s="469" t="s">
        <v>906</v>
      </c>
      <c r="JZ1" s="469" t="s">
        <v>908</v>
      </c>
      <c r="KA1" s="469" t="s">
        <v>910</v>
      </c>
      <c r="KB1" s="469" t="s">
        <v>912</v>
      </c>
      <c r="KC1" s="469" t="s">
        <v>914</v>
      </c>
      <c r="KD1" s="469" t="s">
        <v>916</v>
      </c>
      <c r="KE1" s="469" t="s">
        <v>918</v>
      </c>
      <c r="KF1" s="469" t="s">
        <v>920</v>
      </c>
      <c r="KG1" s="469" t="s">
        <v>922</v>
      </c>
      <c r="KH1" s="469" t="s">
        <v>924</v>
      </c>
      <c r="KI1" s="469" t="s">
        <v>926</v>
      </c>
      <c r="KJ1" s="469" t="s">
        <v>928</v>
      </c>
      <c r="KK1" s="469" t="s">
        <v>930</v>
      </c>
      <c r="KL1" s="469" t="s">
        <v>932</v>
      </c>
      <c r="KM1" s="469" t="s">
        <v>934</v>
      </c>
      <c r="KN1" s="469" t="s">
        <v>936</v>
      </c>
      <c r="KO1" s="472" t="s">
        <v>325</v>
      </c>
      <c r="KP1" s="469" t="s">
        <v>938</v>
      </c>
      <c r="KQ1" s="469" t="s">
        <v>326</v>
      </c>
      <c r="KR1" s="469" t="s">
        <v>941</v>
      </c>
      <c r="KS1" s="469" t="s">
        <v>943</v>
      </c>
      <c r="KT1" s="469" t="s">
        <v>945</v>
      </c>
      <c r="KU1" s="469" t="s">
        <v>947</v>
      </c>
      <c r="KV1" s="469" t="s">
        <v>327</v>
      </c>
      <c r="KW1" s="469" t="s">
        <v>950</v>
      </c>
      <c r="KX1" s="469" t="s">
        <v>952</v>
      </c>
      <c r="KY1" s="469" t="s">
        <v>954</v>
      </c>
      <c r="KZ1" s="469" t="s">
        <v>956</v>
      </c>
      <c r="LA1" s="469" t="s">
        <v>958</v>
      </c>
      <c r="LB1" s="469" t="s">
        <v>960</v>
      </c>
      <c r="LC1" s="469" t="s">
        <v>962</v>
      </c>
      <c r="LD1" s="468" t="s">
        <v>329</v>
      </c>
      <c r="LE1" s="472" t="s">
        <v>330</v>
      </c>
      <c r="LF1" s="469" t="s">
        <v>331</v>
      </c>
      <c r="LG1" s="469" t="s">
        <v>345</v>
      </c>
      <c r="LH1" s="469" t="s">
        <v>964</v>
      </c>
      <c r="LI1" s="469" t="s">
        <v>966</v>
      </c>
      <c r="LJ1" s="469" t="s">
        <v>968</v>
      </c>
      <c r="LK1" s="469" t="s">
        <v>970</v>
      </c>
      <c r="LL1" s="469" t="s">
        <v>346</v>
      </c>
      <c r="LM1" s="469" t="s">
        <v>972</v>
      </c>
      <c r="LN1" s="469" t="s">
        <v>347</v>
      </c>
      <c r="LO1" s="469" t="s">
        <v>974</v>
      </c>
      <c r="LP1" s="469" t="s">
        <v>332</v>
      </c>
      <c r="LQ1" s="469" t="s">
        <v>976</v>
      </c>
      <c r="LR1" s="469" t="s">
        <v>348</v>
      </c>
      <c r="LS1" s="469" t="s">
        <v>978</v>
      </c>
      <c r="LT1" s="469" t="s">
        <v>980</v>
      </c>
      <c r="LU1" s="469" t="s">
        <v>349</v>
      </c>
      <c r="LV1" s="472" t="s">
        <v>333</v>
      </c>
      <c r="LW1" s="469" t="s">
        <v>334</v>
      </c>
      <c r="LX1" s="469" t="s">
        <v>982</v>
      </c>
      <c r="LY1" s="469" t="s">
        <v>984</v>
      </c>
      <c r="LZ1" s="469" t="s">
        <v>985</v>
      </c>
      <c r="MA1" s="469" t="s">
        <v>987</v>
      </c>
      <c r="MB1" s="469" t="s">
        <v>988</v>
      </c>
      <c r="MC1" s="469" t="s">
        <v>990</v>
      </c>
      <c r="MD1" s="469" t="s">
        <v>992</v>
      </c>
      <c r="ME1" s="469" t="s">
        <v>994</v>
      </c>
      <c r="MF1" s="469" t="s">
        <v>996</v>
      </c>
      <c r="MG1" s="469" t="s">
        <v>335</v>
      </c>
      <c r="MH1" s="469" t="s">
        <v>999</v>
      </c>
      <c r="MI1" s="469" t="s">
        <v>1000</v>
      </c>
      <c r="MJ1" s="469" t="s">
        <v>1002</v>
      </c>
      <c r="MK1" s="469" t="s">
        <v>336</v>
      </c>
      <c r="ML1" s="469" t="s">
        <v>1005</v>
      </c>
      <c r="MM1" s="469" t="s">
        <v>1006</v>
      </c>
      <c r="MN1" s="469" t="s">
        <v>1008</v>
      </c>
      <c r="MO1" s="469" t="s">
        <v>1010</v>
      </c>
      <c r="MP1" s="469" t="s">
        <v>337</v>
      </c>
      <c r="MQ1" s="469" t="s">
        <v>1013</v>
      </c>
      <c r="MR1" s="469" t="s">
        <v>1015</v>
      </c>
      <c r="MS1" s="469" t="s">
        <v>1017</v>
      </c>
      <c r="MT1" s="469" t="s">
        <v>1019</v>
      </c>
      <c r="MU1" s="469" t="s">
        <v>338</v>
      </c>
      <c r="MV1" s="469" t="s">
        <v>1022</v>
      </c>
      <c r="MW1" s="469" t="s">
        <v>1024</v>
      </c>
      <c r="MX1" s="469" t="s">
        <v>1026</v>
      </c>
      <c r="MY1" s="469" t="s">
        <v>1028</v>
      </c>
      <c r="MZ1" s="469" t="s">
        <v>1030</v>
      </c>
      <c r="NA1" s="469" t="s">
        <v>1032</v>
      </c>
      <c r="NB1" s="469" t="s">
        <v>1034</v>
      </c>
      <c r="NC1" s="469" t="s">
        <v>1036</v>
      </c>
      <c r="ND1" s="469" t="s">
        <v>1038</v>
      </c>
      <c r="NE1" s="469" t="s">
        <v>1040</v>
      </c>
      <c r="NF1" s="469" t="s">
        <v>1042</v>
      </c>
      <c r="NG1" s="469" t="s">
        <v>1043</v>
      </c>
      <c r="NH1" s="472" t="s">
        <v>339</v>
      </c>
      <c r="NI1" s="469" t="s">
        <v>340</v>
      </c>
      <c r="NJ1" s="469" t="s">
        <v>1045</v>
      </c>
      <c r="NK1" s="469" t="s">
        <v>1047</v>
      </c>
      <c r="NL1" s="469" t="s">
        <v>1049</v>
      </c>
      <c r="NM1" s="469" t="s">
        <v>1051</v>
      </c>
      <c r="NN1" s="472" t="s">
        <v>341</v>
      </c>
      <c r="NO1" s="469" t="s">
        <v>342</v>
      </c>
      <c r="NP1" s="469" t="s">
        <v>1052</v>
      </c>
      <c r="NQ1" s="469" t="s">
        <v>343</v>
      </c>
      <c r="NR1" s="469" t="s">
        <v>1054</v>
      </c>
      <c r="NS1" s="469" t="s">
        <v>1056</v>
      </c>
      <c r="NT1" s="469" t="s">
        <v>344</v>
      </c>
      <c r="NU1" s="469" t="s">
        <v>1058</v>
      </c>
      <c r="NV1" s="468" t="s">
        <v>350</v>
      </c>
      <c r="NW1" s="472" t="s">
        <v>351</v>
      </c>
      <c r="NX1" s="469" t="s">
        <v>352</v>
      </c>
      <c r="NY1" s="469" t="s">
        <v>1061</v>
      </c>
      <c r="NZ1" s="469" t="s">
        <v>1063</v>
      </c>
      <c r="OA1" s="469" t="s">
        <v>353</v>
      </c>
      <c r="OB1" s="469" t="s">
        <v>363</v>
      </c>
      <c r="OC1" s="469" t="s">
        <v>1065</v>
      </c>
      <c r="OD1" s="469" t="s">
        <v>1067</v>
      </c>
      <c r="OE1" s="469" t="s">
        <v>1069</v>
      </c>
      <c r="OF1" s="469" t="s">
        <v>1071</v>
      </c>
      <c r="OG1" s="469" t="s">
        <v>1073</v>
      </c>
      <c r="OH1" s="469" t="s">
        <v>1075</v>
      </c>
      <c r="OI1" s="469" t="s">
        <v>1077</v>
      </c>
      <c r="OJ1" s="469" t="s">
        <v>1079</v>
      </c>
      <c r="OK1" s="469" t="s">
        <v>1081</v>
      </c>
      <c r="OL1" s="469" t="s">
        <v>1083</v>
      </c>
      <c r="OM1" s="469" t="s">
        <v>1085</v>
      </c>
      <c r="ON1" s="469" t="s">
        <v>1087</v>
      </c>
      <c r="OO1" s="469" t="s">
        <v>1089</v>
      </c>
      <c r="OP1" s="469" t="s">
        <v>1091</v>
      </c>
      <c r="OQ1" s="469" t="s">
        <v>1093</v>
      </c>
      <c r="OR1" s="469" t="s">
        <v>1095</v>
      </c>
      <c r="OS1" s="469" t="s">
        <v>1097</v>
      </c>
      <c r="OT1" s="469" t="s">
        <v>1099</v>
      </c>
      <c r="OU1" s="469" t="s">
        <v>1101</v>
      </c>
      <c r="OV1" s="469" t="s">
        <v>1103</v>
      </c>
      <c r="OW1" s="469" t="s">
        <v>1105</v>
      </c>
      <c r="OX1" s="469" t="s">
        <v>1107</v>
      </c>
      <c r="OY1" s="469" t="s">
        <v>364</v>
      </c>
      <c r="OZ1" s="469" t="s">
        <v>1110</v>
      </c>
      <c r="PA1" s="469" t="s">
        <v>1112</v>
      </c>
      <c r="PB1" s="469" t="s">
        <v>1113</v>
      </c>
      <c r="PC1" s="469" t="s">
        <v>1115</v>
      </c>
      <c r="PD1" s="469" t="s">
        <v>1117</v>
      </c>
      <c r="PE1" s="469" t="s">
        <v>1119</v>
      </c>
      <c r="PF1" s="469" t="s">
        <v>1121</v>
      </c>
      <c r="PG1" s="469" t="s">
        <v>1123</v>
      </c>
      <c r="PH1" s="469" t="s">
        <v>1125</v>
      </c>
      <c r="PI1" s="469" t="s">
        <v>1127</v>
      </c>
      <c r="PJ1" s="469" t="s">
        <v>1129</v>
      </c>
      <c r="PK1" s="469" t="s">
        <v>1131</v>
      </c>
      <c r="PL1" s="469" t="s">
        <v>1133</v>
      </c>
      <c r="PM1" s="469" t="s">
        <v>1135</v>
      </c>
      <c r="PN1" s="469" t="s">
        <v>1137</v>
      </c>
      <c r="PO1" s="469" t="s">
        <v>1139</v>
      </c>
      <c r="PP1" s="469" t="s">
        <v>1141</v>
      </c>
      <c r="PQ1" s="469" t="s">
        <v>1143</v>
      </c>
      <c r="PR1" s="469" t="s">
        <v>1145</v>
      </c>
      <c r="PS1" s="469" t="s">
        <v>1147</v>
      </c>
      <c r="PT1" s="469" t="s">
        <v>1149</v>
      </c>
      <c r="PU1" s="469" t="s">
        <v>1151</v>
      </c>
      <c r="PV1" s="469" t="s">
        <v>1153</v>
      </c>
      <c r="PW1" s="469" t="s">
        <v>1155</v>
      </c>
      <c r="PX1" s="469" t="s">
        <v>1157</v>
      </c>
      <c r="PY1" s="469" t="s">
        <v>1159</v>
      </c>
      <c r="PZ1" s="469" t="s">
        <v>354</v>
      </c>
      <c r="QA1" s="469" t="s">
        <v>1161</v>
      </c>
      <c r="QB1" s="469" t="s">
        <v>1163</v>
      </c>
      <c r="QC1" s="469" t="s">
        <v>1165</v>
      </c>
      <c r="QD1" s="469" t="s">
        <v>1167</v>
      </c>
      <c r="QE1" s="469" t="s">
        <v>1169</v>
      </c>
      <c r="QF1" s="472" t="s">
        <v>355</v>
      </c>
      <c r="QG1" s="469" t="s">
        <v>356</v>
      </c>
      <c r="QH1" s="469" t="s">
        <v>1171</v>
      </c>
      <c r="QI1" s="469" t="s">
        <v>1173</v>
      </c>
      <c r="QJ1" s="469" t="s">
        <v>1175</v>
      </c>
      <c r="QK1" s="469" t="s">
        <v>1177</v>
      </c>
      <c r="QL1" s="469" t="s">
        <v>1179</v>
      </c>
      <c r="QM1" s="469" t="s">
        <v>1181</v>
      </c>
      <c r="QN1" s="472" t="s">
        <v>357</v>
      </c>
      <c r="QO1" s="469" t="s">
        <v>1183</v>
      </c>
      <c r="QP1" s="469" t="s">
        <v>358</v>
      </c>
      <c r="QQ1" s="469" t="s">
        <v>365</v>
      </c>
      <c r="QR1" s="469" t="s">
        <v>1185</v>
      </c>
      <c r="QS1" s="469" t="s">
        <v>1187</v>
      </c>
      <c r="QT1" s="469" t="s">
        <v>1189</v>
      </c>
      <c r="QU1" s="469" t="s">
        <v>1191</v>
      </c>
      <c r="QV1" s="469" t="s">
        <v>1193</v>
      </c>
      <c r="QW1" s="469" t="s">
        <v>1195</v>
      </c>
      <c r="QX1" s="469" t="s">
        <v>1197</v>
      </c>
      <c r="QY1" s="469" t="s">
        <v>1199</v>
      </c>
      <c r="QZ1" s="469" t="s">
        <v>1201</v>
      </c>
      <c r="RA1" s="469" t="s">
        <v>1203</v>
      </c>
      <c r="RB1" s="469" t="s">
        <v>1205</v>
      </c>
      <c r="RC1" s="469" t="s">
        <v>1207</v>
      </c>
      <c r="RD1" s="469" t="s">
        <v>1209</v>
      </c>
      <c r="RE1" s="469" t="s">
        <v>1211</v>
      </c>
      <c r="RF1" s="472" t="s">
        <v>359</v>
      </c>
      <c r="RG1" s="469" t="s">
        <v>360</v>
      </c>
      <c r="RH1" s="469" t="s">
        <v>1213</v>
      </c>
      <c r="RI1" s="469" t="s">
        <v>1215</v>
      </c>
      <c r="RJ1" s="472" t="s">
        <v>361</v>
      </c>
      <c r="RK1" s="469" t="s">
        <v>362</v>
      </c>
      <c r="RL1" s="469" t="s">
        <v>1217</v>
      </c>
      <c r="RM1" s="469" t="s">
        <v>1218</v>
      </c>
      <c r="RN1" s="469" t="s">
        <v>1219</v>
      </c>
      <c r="RO1" s="469" t="s">
        <v>1220</v>
      </c>
      <c r="RP1" s="469" t="s">
        <v>1222</v>
      </c>
      <c r="RQ1" s="469" t="s">
        <v>1223</v>
      </c>
      <c r="RR1" s="469" t="s">
        <v>1225</v>
      </c>
      <c r="RS1" s="469" t="s">
        <v>1226</v>
      </c>
      <c r="RT1" s="468" t="s">
        <v>366</v>
      </c>
      <c r="RU1" s="472" t="s">
        <v>367</v>
      </c>
      <c r="RV1" s="469" t="s">
        <v>368</v>
      </c>
      <c r="RW1" s="469" t="s">
        <v>1228</v>
      </c>
      <c r="RX1" s="469" t="s">
        <v>1230</v>
      </c>
      <c r="RY1" s="469" t="s">
        <v>369</v>
      </c>
      <c r="RZ1" s="469" t="s">
        <v>1232</v>
      </c>
      <c r="SA1" s="469" t="s">
        <v>1234</v>
      </c>
      <c r="SB1" s="469" t="s">
        <v>1236</v>
      </c>
      <c r="SC1" s="469" t="s">
        <v>1238</v>
      </c>
      <c r="SD1" s="472" t="s">
        <v>370</v>
      </c>
      <c r="SE1" s="469" t="s">
        <v>371</v>
      </c>
      <c r="SF1" s="469" t="s">
        <v>1240</v>
      </c>
      <c r="SG1" s="469" t="s">
        <v>1242</v>
      </c>
      <c r="SH1" s="469" t="s">
        <v>1244</v>
      </c>
      <c r="SI1" s="469" t="s">
        <v>1246</v>
      </c>
      <c r="SJ1" s="469" t="s">
        <v>1248</v>
      </c>
      <c r="SK1" s="469" t="s">
        <v>1250</v>
      </c>
      <c r="SL1" s="469" t="s">
        <v>1252</v>
      </c>
      <c r="SM1" s="469" t="s">
        <v>1254</v>
      </c>
      <c r="SN1" s="469" t="s">
        <v>1256</v>
      </c>
      <c r="SO1" s="469" t="s">
        <v>1258</v>
      </c>
      <c r="SP1" s="469" t="s">
        <v>1260</v>
      </c>
      <c r="SQ1" s="469" t="s">
        <v>1262</v>
      </c>
      <c r="SR1" s="469" t="s">
        <v>1264</v>
      </c>
      <c r="SS1" s="469" t="s">
        <v>1266</v>
      </c>
      <c r="ST1" s="469" t="s">
        <v>1268</v>
      </c>
      <c r="SU1" s="468" t="s">
        <v>372</v>
      </c>
      <c r="SV1" s="472" t="s">
        <v>373</v>
      </c>
      <c r="SW1" s="469" t="s">
        <v>374</v>
      </c>
      <c r="SX1" s="469" t="s">
        <v>1270</v>
      </c>
      <c r="SY1" s="469" t="s">
        <v>1272</v>
      </c>
      <c r="SZ1" s="469" t="s">
        <v>1274</v>
      </c>
      <c r="TA1" s="469" t="s">
        <v>1276</v>
      </c>
      <c r="TB1" s="469" t="s">
        <v>1278</v>
      </c>
      <c r="TC1" s="469" t="s">
        <v>375</v>
      </c>
      <c r="TD1" s="469" t="s">
        <v>1280</v>
      </c>
      <c r="TE1" s="469" t="s">
        <v>1282</v>
      </c>
      <c r="TF1" s="469" t="s">
        <v>1284</v>
      </c>
      <c r="TG1" s="469" t="s">
        <v>1286</v>
      </c>
      <c r="TH1" s="469" t="s">
        <v>1288</v>
      </c>
      <c r="TI1" s="469" t="s">
        <v>1290</v>
      </c>
      <c r="TJ1" s="472" t="s">
        <v>376</v>
      </c>
      <c r="TK1" s="469" t="s">
        <v>377</v>
      </c>
      <c r="TL1" s="469" t="s">
        <v>378</v>
      </c>
      <c r="TM1" s="469" t="s">
        <v>1292</v>
      </c>
      <c r="TN1" s="469" t="s">
        <v>1294</v>
      </c>
      <c r="TO1" s="469" t="s">
        <v>1295</v>
      </c>
      <c r="TP1" s="469" t="s">
        <v>1297</v>
      </c>
      <c r="TQ1" s="469" t="s">
        <v>1299</v>
      </c>
      <c r="TR1" s="469" t="s">
        <v>1301</v>
      </c>
      <c r="TS1" s="469" t="s">
        <v>1303</v>
      </c>
      <c r="TT1" s="469" t="s">
        <v>1305</v>
      </c>
      <c r="TU1" s="469" t="s">
        <v>1307</v>
      </c>
      <c r="TV1" s="469" t="s">
        <v>1309</v>
      </c>
      <c r="TW1" s="469" t="s">
        <v>1311</v>
      </c>
      <c r="TX1" s="469" t="s">
        <v>1313</v>
      </c>
      <c r="TY1" s="469" t="s">
        <v>1315</v>
      </c>
      <c r="TZ1" s="469" t="s">
        <v>1317</v>
      </c>
      <c r="UA1" s="469" t="s">
        <v>1319</v>
      </c>
      <c r="UB1" s="469" t="s">
        <v>1321</v>
      </c>
      <c r="UC1" s="468" t="s">
        <v>1323</v>
      </c>
      <c r="UD1" s="469" t="s">
        <v>1325</v>
      </c>
      <c r="UE1" s="469" t="s">
        <v>1327</v>
      </c>
      <c r="UF1" s="469" t="s">
        <v>1329</v>
      </c>
      <c r="UG1" s="469" t="s">
        <v>1331</v>
      </c>
      <c r="UH1" s="469" t="s">
        <v>1333</v>
      </c>
      <c r="UI1" s="470"/>
    </row>
    <row r="2" spans="1:555" s="122" customFormat="1" hidden="1" x14ac:dyDescent="0.25">
      <c r="A2" s="466" t="s">
        <v>1356</v>
      </c>
      <c r="B2" s="466" t="s">
        <v>1358</v>
      </c>
      <c r="C2" s="466" t="s">
        <v>470</v>
      </c>
      <c r="D2" s="466" t="s">
        <v>1357</v>
      </c>
      <c r="E2" s="466" t="s">
        <v>1359</v>
      </c>
      <c r="F2" s="466" t="s">
        <v>471</v>
      </c>
      <c r="G2" s="467" t="s">
        <v>1360</v>
      </c>
      <c r="H2" s="466" t="s">
        <v>1361</v>
      </c>
      <c r="I2" s="466" t="s">
        <v>1362</v>
      </c>
      <c r="J2" s="466" t="s">
        <v>1449</v>
      </c>
      <c r="K2" s="466" t="s">
        <v>1363</v>
      </c>
      <c r="L2" s="466" t="s">
        <v>1364</v>
      </c>
      <c r="M2" s="466" t="s">
        <v>1365</v>
      </c>
      <c r="N2" s="466" t="s">
        <v>1366</v>
      </c>
      <c r="O2" s="466" t="s">
        <v>1367</v>
      </c>
      <c r="P2" s="466" t="s">
        <v>1471</v>
      </c>
      <c r="Q2" s="466" t="s">
        <v>1506</v>
      </c>
      <c r="R2" s="461" t="str">
        <f>+Presupuesto!D11</f>
        <v>Recurrente</v>
      </c>
      <c r="S2" s="461" t="str">
        <f>+Presupuesto!E11</f>
        <v>Programa / Proyecto 2017</v>
      </c>
      <c r="T2" s="466"/>
      <c r="U2" s="466" t="s">
        <v>393</v>
      </c>
      <c r="V2" s="466" t="s">
        <v>411</v>
      </c>
      <c r="W2" s="466" t="s">
        <v>394</v>
      </c>
      <c r="X2" s="466" t="s">
        <v>395</v>
      </c>
      <c r="Y2" s="466" t="s">
        <v>396</v>
      </c>
      <c r="Z2" s="466" t="s">
        <v>397</v>
      </c>
      <c r="AA2" s="466" t="s">
        <v>398</v>
      </c>
      <c r="AB2" s="466" t="s">
        <v>399</v>
      </c>
      <c r="AC2" s="466" t="s">
        <v>400</v>
      </c>
      <c r="AD2" s="466" t="s">
        <v>401</v>
      </c>
      <c r="AE2" s="466" t="s">
        <v>402</v>
      </c>
      <c r="AF2" s="466" t="s">
        <v>403</v>
      </c>
      <c r="AG2" s="466"/>
      <c r="AH2" s="466" t="s">
        <v>419</v>
      </c>
      <c r="AI2" s="466" t="s">
        <v>420</v>
      </c>
      <c r="AJ2" s="466" t="s">
        <v>421</v>
      </c>
      <c r="AK2" s="466" t="s">
        <v>422</v>
      </c>
      <c r="AL2" s="466" t="s">
        <v>423</v>
      </c>
      <c r="AM2" s="466" t="s">
        <v>426</v>
      </c>
      <c r="AN2" s="466" t="s">
        <v>424</v>
      </c>
      <c r="AO2" s="466" t="s">
        <v>425</v>
      </c>
      <c r="AP2" s="466" t="s">
        <v>427</v>
      </c>
      <c r="AQ2" s="466" t="s">
        <v>428</v>
      </c>
      <c r="AR2" s="466" t="s">
        <v>429</v>
      </c>
      <c r="AS2" s="466" t="s">
        <v>430</v>
      </c>
      <c r="AT2" s="466" t="s">
        <v>431</v>
      </c>
      <c r="AU2" s="466" t="s">
        <v>432</v>
      </c>
      <c r="AV2" s="466" t="s">
        <v>433</v>
      </c>
      <c r="AW2" s="466" t="s">
        <v>434</v>
      </c>
      <c r="AX2" s="466" t="s">
        <v>435</v>
      </c>
      <c r="AY2" s="466" t="s">
        <v>436</v>
      </c>
      <c r="AZ2" s="466" t="s">
        <v>437</v>
      </c>
      <c r="BA2" s="466" t="s">
        <v>438</v>
      </c>
      <c r="BB2" s="466" t="s">
        <v>439</v>
      </c>
      <c r="BC2" s="466" t="s">
        <v>440</v>
      </c>
      <c r="BD2" s="466" t="s">
        <v>441</v>
      </c>
      <c r="BE2" s="466" t="s">
        <v>442</v>
      </c>
      <c r="BF2" s="466" t="s">
        <v>443</v>
      </c>
      <c r="BG2" s="466" t="s">
        <v>444</v>
      </c>
      <c r="BH2" s="466" t="s">
        <v>445</v>
      </c>
      <c r="BI2" s="466" t="s">
        <v>446</v>
      </c>
      <c r="BJ2" s="466" t="s">
        <v>447</v>
      </c>
      <c r="BK2" s="466" t="s">
        <v>448</v>
      </c>
      <c r="BL2" s="466" t="s">
        <v>449</v>
      </c>
      <c r="BM2" s="466" t="s">
        <v>450</v>
      </c>
      <c r="BN2" s="466" t="s">
        <v>451</v>
      </c>
      <c r="BO2" s="466" t="s">
        <v>452</v>
      </c>
      <c r="BP2" s="466" t="s">
        <v>453</v>
      </c>
      <c r="BQ2" s="466" t="s">
        <v>454</v>
      </c>
      <c r="BR2" s="466" t="s">
        <v>455</v>
      </c>
      <c r="BS2" s="466" t="s">
        <v>456</v>
      </c>
      <c r="BT2" s="466" t="s">
        <v>457</v>
      </c>
      <c r="BU2" s="466" t="s">
        <v>458</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x14ac:dyDescent="0.25">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5759.1495000000004</v>
      </c>
      <c r="BC3" s="463">
        <f>+'Cuadro Resumen'!D213</f>
        <v>5307.4515000000001</v>
      </c>
      <c r="BD3" s="463">
        <f>+'Cuadro Resumen'!E213</f>
        <v>6775.47</v>
      </c>
      <c r="BE3" s="463">
        <f>+'Cuadro Resumen'!F213</f>
        <v>6323.7719999999999</v>
      </c>
      <c r="BF3" s="463">
        <f>+'Cuadro Resumen'!C214</f>
        <v>5081.6025</v>
      </c>
      <c r="BG3" s="463">
        <f>+'Cuadro Resumen'!D214</f>
        <v>4629.9045000000006</v>
      </c>
      <c r="BH3" s="463">
        <f>+'Cuadro Resumen'!E214</f>
        <v>6097.9230000000007</v>
      </c>
      <c r="BI3" s="463">
        <f>+'Cuadro Resumen'!F214</f>
        <v>5646.2250000000004</v>
      </c>
      <c r="BJ3" s="463">
        <f>+'Cuadro Resumen'!C215</f>
        <v>4404.0555000000004</v>
      </c>
      <c r="BK3" s="463">
        <f>+'Cuadro Resumen'!D215</f>
        <v>4065.2820000000002</v>
      </c>
      <c r="BL3" s="463">
        <f>+'Cuadro Resumen'!E215</f>
        <v>5420.3760000000002</v>
      </c>
      <c r="BM3" s="463">
        <f>+'Cuadro Resumen'!F215</f>
        <v>4968.6779999999999</v>
      </c>
      <c r="BN3" s="463">
        <f>+'Cuadro Resumen'!C216</f>
        <v>3726.5085000000004</v>
      </c>
      <c r="BO3" s="463">
        <f>+'Cuadro Resumen'!D216</f>
        <v>3387.7350000000001</v>
      </c>
      <c r="BP3" s="463">
        <f>+'Cuadro Resumen'!E216</f>
        <v>4742.8290000000006</v>
      </c>
      <c r="BQ3" s="463">
        <f>+'Cuadro Resumen'!F216</f>
        <v>4404.0555000000004</v>
      </c>
      <c r="BR3" s="463">
        <f>+'Cuadro Resumen'!C217</f>
        <v>3274.8105</v>
      </c>
      <c r="BS3" s="463">
        <f>+'Cuadro Resumen'!D217</f>
        <v>3048.9615000000003</v>
      </c>
      <c r="BT3" s="463">
        <f>+'Cuadro Resumen'!E217</f>
        <v>4178.2065000000002</v>
      </c>
      <c r="BU3" s="463">
        <f>+'Cuadro Resumen'!F217</f>
        <v>3839.433</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x14ac:dyDescent="0.3"/>
    <row r="5" spans="1:555" ht="53.25" thickBot="1" x14ac:dyDescent="0.3">
      <c r="C5" s="87" t="s">
        <v>384</v>
      </c>
      <c r="D5" s="198">
        <f>SUMIF(C:C,$C$10,D:D)</f>
        <v>5284873.2505517462</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SUM(F17:F22)</f>
        <v>9600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t="s">
        <v>1720</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Desarrollo de Recital poético "A cuatro voces" </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 si="0">D17*E17</f>
        <v>0</v>
      </c>
      <c r="G17" s="161"/>
      <c r="H17" s="142"/>
      <c r="I17" s="130" t="e">
        <f>VLOOKUP(H17,Presupuesto!$B$11:$C$565,2,0)</f>
        <v>#N/A</v>
      </c>
      <c r="J17" s="218" t="s">
        <v>1506</v>
      </c>
      <c r="K17" s="98" t="s">
        <v>393</v>
      </c>
    </row>
    <row r="18" spans="3:11" x14ac:dyDescent="0.25">
      <c r="C18" s="141" t="s">
        <v>1700</v>
      </c>
      <c r="D18" s="158">
        <v>12</v>
      </c>
      <c r="E18" s="123">
        <v>100</v>
      </c>
      <c r="F18" s="97">
        <f t="shared" ref="F18:F22" si="1">D18*E18</f>
        <v>1200</v>
      </c>
      <c r="G18" s="161" t="s">
        <v>128</v>
      </c>
      <c r="H18" s="142" t="s">
        <v>791</v>
      </c>
      <c r="I18" s="130" t="str">
        <f>VLOOKUP(H18,Presupuesto!$B$11:$C$565,2,0)</f>
        <v>ALIMENTOS B EBIDAS PARA PERSONAS</v>
      </c>
      <c r="J18" s="98" t="s">
        <v>470</v>
      </c>
      <c r="K18" s="98" t="s">
        <v>397</v>
      </c>
    </row>
    <row r="19" spans="3:11" x14ac:dyDescent="0.25">
      <c r="C19" s="141" t="s">
        <v>1701</v>
      </c>
      <c r="D19" s="158">
        <v>120</v>
      </c>
      <c r="E19" s="123">
        <v>50</v>
      </c>
      <c r="F19" s="97">
        <f t="shared" si="1"/>
        <v>6000</v>
      </c>
      <c r="G19" s="161" t="s">
        <v>128</v>
      </c>
      <c r="H19" s="142" t="s">
        <v>791</v>
      </c>
      <c r="I19" s="130" t="str">
        <f>VLOOKUP(H19,Presupuesto!$B$11:$C$565,2,0)</f>
        <v>ALIMENTOS B EBIDAS PARA PERSONAS</v>
      </c>
      <c r="J19" s="98" t="s">
        <v>470</v>
      </c>
      <c r="K19" s="98" t="s">
        <v>397</v>
      </c>
    </row>
    <row r="20" spans="3:11" x14ac:dyDescent="0.25">
      <c r="C20" s="141" t="s">
        <v>1702</v>
      </c>
      <c r="D20" s="158">
        <v>1</v>
      </c>
      <c r="E20" s="123">
        <v>1200</v>
      </c>
      <c r="F20" s="97">
        <f t="shared" si="1"/>
        <v>1200</v>
      </c>
      <c r="G20" s="161" t="s">
        <v>128</v>
      </c>
      <c r="H20" s="142" t="s">
        <v>870</v>
      </c>
      <c r="I20" s="130" t="str">
        <f>VLOOKUP(H20,Presupuesto!$B$11:$C$565,2,0)</f>
        <v>GASOLINA</v>
      </c>
      <c r="J20" s="98" t="s">
        <v>470</v>
      </c>
      <c r="K20" s="98" t="s">
        <v>397</v>
      </c>
    </row>
    <row r="21" spans="3:11" x14ac:dyDescent="0.25">
      <c r="C21" s="141" t="s">
        <v>1703</v>
      </c>
      <c r="D21" s="158">
        <v>20</v>
      </c>
      <c r="E21" s="123">
        <v>40</v>
      </c>
      <c r="F21" s="97">
        <f t="shared" si="1"/>
        <v>800</v>
      </c>
      <c r="G21" s="161" t="s">
        <v>128</v>
      </c>
      <c r="H21" s="142" t="s">
        <v>716</v>
      </c>
      <c r="I21" s="130" t="str">
        <f>VLOOKUP(H21,Presupuesto!$B$11:$C$565,2,0)</f>
        <v>SERVICIOS DE IMPRENTA PUBLIC.Y REPRODUCCION</v>
      </c>
      <c r="J21" s="98" t="s">
        <v>470</v>
      </c>
      <c r="K21" s="98" t="s">
        <v>397</v>
      </c>
    </row>
    <row r="22" spans="3:11" x14ac:dyDescent="0.25">
      <c r="C22" s="141" t="s">
        <v>1704</v>
      </c>
      <c r="D22" s="158">
        <v>1</v>
      </c>
      <c r="E22" s="123">
        <v>400</v>
      </c>
      <c r="F22" s="97">
        <f t="shared" si="1"/>
        <v>400</v>
      </c>
      <c r="G22" s="161" t="s">
        <v>128</v>
      </c>
      <c r="H22" s="142" t="s">
        <v>660</v>
      </c>
      <c r="I22" s="130" t="str">
        <f>VLOOKUP(H22,Presupuesto!$B$11:$C$565,2,0)</f>
        <v>OTROS ALQUILERES</v>
      </c>
      <c r="J22" s="98" t="s">
        <v>470</v>
      </c>
      <c r="K22" s="98" t="s">
        <v>397</v>
      </c>
    </row>
    <row r="24" spans="3:11" ht="15.75" thickBot="1" x14ac:dyDescent="0.3">
      <c r="F24" s="90"/>
      <c r="G24" s="89"/>
      <c r="H24" s="90"/>
      <c r="I24" s="90"/>
    </row>
    <row r="25" spans="3:11" ht="15.75" thickBot="1" x14ac:dyDescent="0.3">
      <c r="C25" s="157" t="s">
        <v>53</v>
      </c>
      <c r="D25" s="372">
        <f>SUM(F32:F35)</f>
        <v>3500</v>
      </c>
      <c r="F25" s="70"/>
      <c r="G25" s="79"/>
      <c r="H25" s="70"/>
      <c r="I25" s="70"/>
    </row>
    <row r="26" spans="3:11" x14ac:dyDescent="0.25">
      <c r="C26" s="70"/>
      <c r="D26" s="31"/>
      <c r="E26" s="93"/>
      <c r="F26" s="93"/>
      <c r="G26" s="93"/>
      <c r="H26" s="76"/>
      <c r="I26" s="76"/>
      <c r="J26" s="76"/>
      <c r="K26" s="112"/>
    </row>
    <row r="27" spans="3:11" x14ac:dyDescent="0.25">
      <c r="C27" s="70"/>
      <c r="D27" s="31"/>
      <c r="E27" s="93"/>
      <c r="F27" s="93"/>
      <c r="G27" s="93"/>
      <c r="H27" s="76"/>
      <c r="I27" s="76"/>
      <c r="J27" s="76"/>
      <c r="K27" s="112"/>
    </row>
    <row r="28" spans="3:11" ht="15.75" x14ac:dyDescent="0.25">
      <c r="C28" s="202" t="s">
        <v>391</v>
      </c>
      <c r="D28" s="368" t="s">
        <v>1707</v>
      </c>
      <c r="E28" s="93"/>
      <c r="F28" s="93"/>
      <c r="G28" s="93"/>
      <c r="H28" s="76"/>
      <c r="I28" s="76"/>
      <c r="J28" s="76"/>
      <c r="K28" s="112"/>
    </row>
    <row r="29" spans="3:11" ht="18.75" x14ac:dyDescent="0.25">
      <c r="C29" s="210" t="str">
        <f>IFERROR(VLOOKUP(D28,'1. Desarrollo e Innov. Curricu.'!$F:$G,2,FALSE),IFERROR(VLOOKUP(D28,'2. Investigación Científica'!$F:$G,2,FALSE),IFERROR(VLOOKUP(D28,'3. Vinculación Univ. Sociedad'!$F:$G,2,FALSE),IFERROR(VLOOKUP(D28,'4. Docencia y Profesorado Univ.'!$F:$G,2,FALSE),IFERROR(VLOOKUP(D28,'5. Estudiantes y Graduados'!$F:$G,2,FALSE),IFERROR(VLOOKUP(D28,'11. Gestion Administrativa'!$F:$G,2,FALSE),IFERROR(VLOOKUP(D28,'13. Gestión Académica'!$F:$G,2,FALSE),IFERROR(VLOOKUP(D28,'9. Asegura. de la Calid. y M'!$F:$G,2,FALSE),IFERROR(VLOOKUP(D28,'6. Gestión del Conocimiento'!$F:$G,2,FALSE),IFERROR(VLOOKUP(D28,'15. Gobernabilidad y Proceso...'!$F:$G,2,FALSE),IFERROR(VLOOKUP(D28,'12. Gestión del Talento Humano'!$F:$G,2,FALSE),IFERROR(VLOOKUP(D28,'14. Internacional... de la E.S.'!$F:$G,2,FALSE),IFERROR(VLOOKUP(D28,'10. Posgrado'!$F:$G,2,FALSE),IFERROR(VLOOKUP(D28,'17. Gestión TIC'!$F:$G,2,FALSE),IFERROR(VLOOKUP(D28,'16. Desa. del Sistema Educ.Sup.'!$F:$G,2,FALSE),IFERROR(VLOOKUP(D28,'8. Cultura de Inno. Insti...'!$F:$G,2,FALSE),VLOOKUP(D28,'7. Lo Esencial de la Reforma U.'!$F:$G,2,0)))))))))))))))))</f>
        <v>Impartir la clase de español a los alumnos de II de bachillerato en La Granja Penal de la ciudad de Danlí, El Paraíso  los siguientes meses  de febrero a  junio del 2017</v>
      </c>
      <c r="D29" s="31"/>
      <c r="E29" s="93"/>
      <c r="F29" s="93"/>
      <c r="G29" s="93"/>
      <c r="H29" s="76"/>
      <c r="I29" s="76"/>
      <c r="J29" s="76"/>
      <c r="K29" s="112"/>
    </row>
    <row r="30" spans="3:11" ht="15.75" thickBot="1" x14ac:dyDescent="0.3">
      <c r="F30" s="93"/>
      <c r="G30" s="76"/>
      <c r="H30" s="76"/>
      <c r="I30" s="76"/>
    </row>
    <row r="31" spans="3:11" ht="30.75" thickBot="1" x14ac:dyDescent="0.3">
      <c r="C31" s="129" t="s">
        <v>44</v>
      </c>
      <c r="D31" s="129" t="s">
        <v>55</v>
      </c>
      <c r="E31" s="136" t="s">
        <v>57</v>
      </c>
      <c r="F31" s="135" t="s">
        <v>27</v>
      </c>
      <c r="G31" s="133" t="s">
        <v>130</v>
      </c>
      <c r="H31" s="136" t="s">
        <v>46</v>
      </c>
      <c r="I31" s="133" t="s">
        <v>131</v>
      </c>
      <c r="J31" s="133" t="s">
        <v>409</v>
      </c>
      <c r="K31" s="133" t="s">
        <v>410</v>
      </c>
    </row>
    <row r="32" spans="3:11" x14ac:dyDescent="0.25">
      <c r="C32" s="220" t="s">
        <v>438</v>
      </c>
      <c r="D32" s="221"/>
      <c r="E32" s="219">
        <f>HLOOKUP(C32,$AH$2:$BU$3,2,0)</f>
        <v>620</v>
      </c>
      <c r="F32" s="97">
        <f t="shared" ref="F32:F35" si="2">D32*E32</f>
        <v>0</v>
      </c>
      <c r="G32" s="161"/>
      <c r="H32" s="142"/>
      <c r="I32" s="130" t="e">
        <f>VLOOKUP(H32,Presupuesto!$B$11:$C$565,2,0)</f>
        <v>#N/A</v>
      </c>
      <c r="J32" s="218" t="s">
        <v>470</v>
      </c>
      <c r="K32" s="98" t="s">
        <v>393</v>
      </c>
    </row>
    <row r="33" spans="3:11" x14ac:dyDescent="0.25">
      <c r="C33" s="141" t="s">
        <v>1711</v>
      </c>
      <c r="D33" s="158">
        <v>20</v>
      </c>
      <c r="E33" s="123">
        <v>50</v>
      </c>
      <c r="F33" s="97">
        <f t="shared" si="2"/>
        <v>1000</v>
      </c>
      <c r="G33" s="161" t="s">
        <v>128</v>
      </c>
      <c r="H33" s="142" t="s">
        <v>716</v>
      </c>
      <c r="I33" s="130" t="str">
        <f>VLOOKUP(H33,Presupuesto!$B$11:$C$565,2,0)</f>
        <v>SERVICIOS DE IMPRENTA PUBLIC.Y REPRODUCCION</v>
      </c>
      <c r="J33" s="98" t="s">
        <v>470</v>
      </c>
      <c r="K33" s="98" t="s">
        <v>411</v>
      </c>
    </row>
    <row r="34" spans="3:11" x14ac:dyDescent="0.25">
      <c r="C34" s="141" t="s">
        <v>1712</v>
      </c>
      <c r="D34" s="158">
        <v>5</v>
      </c>
      <c r="E34" s="123">
        <v>200</v>
      </c>
      <c r="F34" s="97">
        <f t="shared" si="2"/>
        <v>1000</v>
      </c>
      <c r="G34" s="161" t="s">
        <v>128</v>
      </c>
      <c r="H34" s="142" t="s">
        <v>870</v>
      </c>
      <c r="I34" s="130" t="str">
        <f>VLOOKUP(H34,Presupuesto!$B$11:$C$565,2,0)</f>
        <v>GASOLINA</v>
      </c>
      <c r="J34" s="98" t="str">
        <f t="shared" ref="J34:J35" si="3">$J$32</f>
        <v>Vinculación Universidad-Sociedad</v>
      </c>
      <c r="K34" s="98" t="s">
        <v>411</v>
      </c>
    </row>
    <row r="35" spans="3:11" x14ac:dyDescent="0.25">
      <c r="C35" s="141" t="s">
        <v>1713</v>
      </c>
      <c r="D35" s="158">
        <v>25</v>
      </c>
      <c r="E35" s="123">
        <v>60</v>
      </c>
      <c r="F35" s="97">
        <f t="shared" si="2"/>
        <v>1500</v>
      </c>
      <c r="G35" s="161" t="s">
        <v>128</v>
      </c>
      <c r="H35" s="142" t="s">
        <v>791</v>
      </c>
      <c r="I35" s="130" t="str">
        <f>VLOOKUP(H35,Presupuesto!$B$11:$C$565,2,0)</f>
        <v>ALIMENTOS B EBIDAS PARA PERSONAS</v>
      </c>
      <c r="J35" s="98" t="str">
        <f t="shared" si="3"/>
        <v>Vinculación Universidad-Sociedad</v>
      </c>
      <c r="K35" s="98" t="s">
        <v>411</v>
      </c>
    </row>
    <row r="37" spans="3:11" ht="15.75" thickBot="1" x14ac:dyDescent="0.3"/>
    <row r="38" spans="3:11" ht="15.75" thickBot="1" x14ac:dyDescent="0.3">
      <c r="C38" s="157" t="s">
        <v>53</v>
      </c>
      <c r="D38" s="372">
        <f>SUM(F45:F48)</f>
        <v>7350</v>
      </c>
      <c r="F38" s="70"/>
      <c r="G38" s="79"/>
      <c r="H38" s="70"/>
      <c r="I38" s="70"/>
    </row>
    <row r="39" spans="3:11" x14ac:dyDescent="0.25">
      <c r="C39" s="70"/>
      <c r="D39" s="31"/>
      <c r="E39" s="93"/>
      <c r="F39" s="93"/>
      <c r="G39" s="93"/>
      <c r="H39" s="76"/>
      <c r="I39" s="76"/>
      <c r="J39" s="76"/>
      <c r="K39" s="112"/>
    </row>
    <row r="40" spans="3:11" x14ac:dyDescent="0.25">
      <c r="C40" s="70"/>
      <c r="D40" s="31"/>
      <c r="E40" s="93"/>
      <c r="F40" s="93"/>
      <c r="G40" s="93"/>
      <c r="H40" s="76"/>
      <c r="I40" s="76"/>
      <c r="J40" s="76"/>
      <c r="K40" s="112"/>
    </row>
    <row r="41" spans="3:11" ht="15.75" x14ac:dyDescent="0.25">
      <c r="C41" s="202" t="s">
        <v>391</v>
      </c>
      <c r="D41" s="368" t="s">
        <v>1716</v>
      </c>
      <c r="E41" s="93"/>
      <c r="F41" s="93"/>
      <c r="G41" s="93"/>
      <c r="H41" s="76"/>
      <c r="I41" s="76"/>
      <c r="J41" s="76"/>
      <c r="K41" s="112"/>
    </row>
    <row r="42" spans="3:11" ht="18.75" x14ac:dyDescent="0.25">
      <c r="C42" s="210" t="str">
        <f>IFERROR(VLOOKUP(D41,'1. Desarrollo e Innov. Curricu.'!$F:$G,2,FALSE),IFERROR(VLOOKUP(D41,'2. Investigación Científica'!$F:$G,2,FALSE),IFERROR(VLOOKUP(D41,'3. Vinculación Univ. Sociedad'!$F:$G,2,FALSE),IFERROR(VLOOKUP(D41,'4. Docencia y Profesorado Univ.'!$F:$G,2,FALSE),IFERROR(VLOOKUP(D41,'5. Estudiantes y Graduados'!$F:$G,2,FALSE),IFERROR(VLOOKUP(D41,'11. Gestion Administrativa'!$F:$G,2,FALSE),IFERROR(VLOOKUP(D41,'13. Gestión Académica'!$F:$G,2,FALSE),IFERROR(VLOOKUP(D41,'9. Asegura. de la Calid. y M'!$F:$G,2,FALSE),IFERROR(VLOOKUP(D41,'6. Gestión del Conocimiento'!$F:$G,2,FALSE),IFERROR(VLOOKUP(D41,'15. Gobernabilidad y Proceso...'!$F:$G,2,FALSE),IFERROR(VLOOKUP(D41,'12. Gestión del Talento Humano'!$F:$G,2,FALSE),IFERROR(VLOOKUP(D41,'14. Internacional... de la E.S.'!$F:$G,2,FALSE),IFERROR(VLOOKUP(D41,'10. Posgrado'!$F:$G,2,FALSE),IFERROR(VLOOKUP(D41,'17. Gestión TIC'!$F:$G,2,FALSE),IFERROR(VLOOKUP(D41,'16. Desa. del Sistema Educ.Sup.'!$F:$G,2,FALSE),IFERROR(VLOOKUP(D41,'8. Cultura de Inno. Insti...'!$F:$G,2,FALSE),VLOOKUP(D41,'7. Lo Esencial de la Reforma U.'!$F:$G,2,0)))))))))))))))))</f>
        <v xml:space="preserve">Taller de Literatura Infantil denominado “Leyendo Juntos” y Taller de Lecto-escritura
a los alumnos del centro básico Francisco Morazán, ubicado en la aldea  El Pescadero, Danlí departamento de El Paraíso y otras escuelas gubernamentales de la zona.
</v>
      </c>
      <c r="D42" s="407"/>
      <c r="E42" s="93"/>
      <c r="F42" s="93"/>
      <c r="G42" s="93"/>
      <c r="H42" s="76"/>
      <c r="I42" s="76"/>
      <c r="J42" s="76"/>
      <c r="K42" s="112"/>
    </row>
    <row r="43" spans="3:11" ht="15.75" thickBot="1" x14ac:dyDescent="0.3">
      <c r="F43" s="93"/>
      <c r="G43" s="76"/>
      <c r="H43" s="76"/>
      <c r="I43" s="76"/>
    </row>
    <row r="44" spans="3:11" ht="30.75" thickBot="1" x14ac:dyDescent="0.3">
      <c r="C44" s="129" t="s">
        <v>44</v>
      </c>
      <c r="D44" s="129" t="s">
        <v>55</v>
      </c>
      <c r="E44" s="136" t="s">
        <v>57</v>
      </c>
      <c r="F44" s="135" t="s">
        <v>27</v>
      </c>
      <c r="G44" s="133" t="s">
        <v>130</v>
      </c>
      <c r="H44" s="136" t="s">
        <v>46</v>
      </c>
      <c r="I44" s="133" t="s">
        <v>131</v>
      </c>
      <c r="J44" s="133" t="s">
        <v>409</v>
      </c>
      <c r="K44" s="133" t="s">
        <v>410</v>
      </c>
    </row>
    <row r="45" spans="3:11" x14ac:dyDescent="0.25">
      <c r="C45" s="220" t="s">
        <v>438</v>
      </c>
      <c r="D45" s="221"/>
      <c r="E45" s="219">
        <f>HLOOKUP(C45,$AH$2:$BU$3,2,0)</f>
        <v>620</v>
      </c>
      <c r="F45" s="97">
        <f t="shared" ref="F45:F48" si="4">D45*E45</f>
        <v>0</v>
      </c>
      <c r="G45" s="161"/>
      <c r="H45" s="142"/>
      <c r="I45" s="130" t="e">
        <f>VLOOKUP(H45,Presupuesto!$B$11:$C$565,2,0)</f>
        <v>#N/A</v>
      </c>
      <c r="J45" s="218" t="s">
        <v>470</v>
      </c>
      <c r="K45" s="98" t="s">
        <v>393</v>
      </c>
    </row>
    <row r="46" spans="3:11" x14ac:dyDescent="0.25">
      <c r="C46" s="141" t="s">
        <v>1711</v>
      </c>
      <c r="D46" s="158">
        <v>170</v>
      </c>
      <c r="E46" s="123">
        <v>10</v>
      </c>
      <c r="F46" s="97">
        <f t="shared" si="4"/>
        <v>1700</v>
      </c>
      <c r="G46" s="161" t="s">
        <v>128</v>
      </c>
      <c r="H46" s="142" t="s">
        <v>716</v>
      </c>
      <c r="I46" s="130" t="str">
        <f>VLOOKUP(H46,Presupuesto!$B$11:$C$565,2,0)</f>
        <v>SERVICIOS DE IMPRENTA PUBLIC.Y REPRODUCCION</v>
      </c>
      <c r="J46" s="98" t="str">
        <f>$J$45</f>
        <v>Vinculación Universidad-Sociedad</v>
      </c>
      <c r="K46" s="98" t="s">
        <v>411</v>
      </c>
    </row>
    <row r="47" spans="3:11" x14ac:dyDescent="0.25">
      <c r="C47" s="141" t="s">
        <v>1712</v>
      </c>
      <c r="D47" s="158">
        <v>7</v>
      </c>
      <c r="E47" s="123">
        <v>200</v>
      </c>
      <c r="F47" s="97">
        <f t="shared" si="4"/>
        <v>1400</v>
      </c>
      <c r="G47" s="161" t="s">
        <v>128</v>
      </c>
      <c r="H47" s="142" t="s">
        <v>870</v>
      </c>
      <c r="I47" s="130" t="str">
        <f>VLOOKUP(H47,Presupuesto!$B$11:$C$565,2,0)</f>
        <v>GASOLINA</v>
      </c>
      <c r="J47" s="98" t="str">
        <f t="shared" ref="J47:J48" si="5">$J$45</f>
        <v>Vinculación Universidad-Sociedad</v>
      </c>
      <c r="K47" s="98" t="s">
        <v>411</v>
      </c>
    </row>
    <row r="48" spans="3:11" x14ac:dyDescent="0.25">
      <c r="C48" s="141" t="s">
        <v>1713</v>
      </c>
      <c r="D48" s="158">
        <v>170</v>
      </c>
      <c r="E48" s="123">
        <v>25</v>
      </c>
      <c r="F48" s="97">
        <f t="shared" si="4"/>
        <v>4250</v>
      </c>
      <c r="G48" s="161" t="s">
        <v>128</v>
      </c>
      <c r="H48" s="142" t="s">
        <v>791</v>
      </c>
      <c r="I48" s="130" t="str">
        <f>VLOOKUP(H48,Presupuesto!$B$11:$C$565,2,0)</f>
        <v>ALIMENTOS B EBIDAS PARA PERSONAS</v>
      </c>
      <c r="J48" s="98" t="str">
        <f t="shared" si="5"/>
        <v>Vinculación Universidad-Sociedad</v>
      </c>
      <c r="K48" s="98" t="s">
        <v>411</v>
      </c>
    </row>
    <row r="50" spans="3:11" ht="15.75" thickBot="1" x14ac:dyDescent="0.3">
      <c r="F50" s="90"/>
      <c r="G50" s="89"/>
      <c r="H50" s="90"/>
      <c r="I50" s="90"/>
    </row>
    <row r="51" spans="3:11" ht="15.75" thickBot="1" x14ac:dyDescent="0.3">
      <c r="C51" s="157" t="s">
        <v>53</v>
      </c>
      <c r="D51" s="372">
        <f>SUM(F58:F62)</f>
        <v>6700</v>
      </c>
      <c r="F51" s="70"/>
      <c r="G51" s="79"/>
      <c r="H51" s="70"/>
      <c r="I51" s="70"/>
    </row>
    <row r="52" spans="3:11" x14ac:dyDescent="0.25">
      <c r="C52" s="70"/>
      <c r="D52" s="31"/>
      <c r="E52" s="93"/>
      <c r="F52" s="93"/>
      <c r="G52" s="93"/>
      <c r="H52" s="76"/>
      <c r="I52" s="76"/>
      <c r="J52" s="76"/>
      <c r="K52" s="112"/>
    </row>
    <row r="53" spans="3:11" x14ac:dyDescent="0.25">
      <c r="C53" s="70"/>
      <c r="D53" s="31"/>
      <c r="E53" s="93"/>
      <c r="F53" s="93"/>
      <c r="G53" s="93"/>
      <c r="H53" s="76"/>
      <c r="I53" s="76"/>
      <c r="J53" s="76"/>
      <c r="K53" s="112"/>
    </row>
    <row r="54" spans="3:11" ht="15.75" x14ac:dyDescent="0.25">
      <c r="C54" s="202" t="s">
        <v>391</v>
      </c>
      <c r="D54" s="368" t="s">
        <v>1754</v>
      </c>
      <c r="E54" s="93"/>
      <c r="F54" s="93"/>
      <c r="G54" s="93"/>
      <c r="H54" s="76"/>
      <c r="I54" s="76"/>
      <c r="J54" s="76"/>
      <c r="K54" s="112"/>
    </row>
    <row r="55" spans="3:11" ht="18.75" x14ac:dyDescent="0.25">
      <c r="C55" s="210" t="str">
        <f>IFERROR(VLOOKUP(D54,'1. Desarrollo e Innov. Curricu.'!$F:$G,2,FALSE),IFERROR(VLOOKUP(D54,'2. Investigación Científica'!$F:$G,2,FALSE),IFERROR(VLOOKUP(D54,'3. Vinculación Univ. Sociedad'!$F:$G,2,FALSE),IFERROR(VLOOKUP(D54,'4. Docencia y Profesorado Univ.'!$F:$G,2,FALSE),IFERROR(VLOOKUP(D54,'5. Estudiantes y Graduados'!$F:$G,2,FALSE),IFERROR(VLOOKUP(D54,'11. Gestion Administrativa'!$F:$G,2,FALSE),IFERROR(VLOOKUP(D54,'13. Gestión Académica'!$F:$G,2,FALSE),IFERROR(VLOOKUP(D54,'9. Asegura. de la Calid. y M'!$F:$G,2,FALSE),IFERROR(VLOOKUP(D54,'6. Gestión del Conocimiento'!$F:$G,2,FALSE),IFERROR(VLOOKUP(D54,'15. Gobernabilidad y Proceso...'!$F:$G,2,FALSE),IFERROR(VLOOKUP(D54,'12. Gestión del Talento Humano'!$F:$G,2,FALSE),IFERROR(VLOOKUP(D54,'14. Internacional... de la E.S.'!$F:$G,2,FALSE),IFERROR(VLOOKUP(D54,'10. Posgrado'!$F:$G,2,FALSE),IFERROR(VLOOKUP(D54,'17. Gestión TIC'!$F:$G,2,FALSE),IFERROR(VLOOKUP(D54,'16. Desa. del Sistema Educ.Sup.'!$F:$G,2,FALSE),IFERROR(VLOOKUP(D54,'8. Cultura de Inno. Insti...'!$F:$G,2,FALSE),VLOOKUP(D54,'7. Lo Esencial de la Reforma U.'!$F:$G,2,0)))))))))))))))))</f>
        <v>Instalación de una placa en la estatua de Manuel Adalid y Gamero en el Parque Central de Danlí.</v>
      </c>
      <c r="D55" s="31"/>
      <c r="E55" s="93"/>
      <c r="F55" s="93"/>
      <c r="G55" s="93"/>
      <c r="H55" s="76"/>
      <c r="I55" s="76"/>
      <c r="J55" s="76"/>
      <c r="K55" s="112"/>
    </row>
    <row r="56" spans="3:11" ht="15.75" thickBot="1" x14ac:dyDescent="0.3">
      <c r="F56" s="93"/>
      <c r="G56" s="76"/>
      <c r="H56" s="76"/>
      <c r="I56" s="76"/>
    </row>
    <row r="57" spans="3:11" ht="30.75" thickBot="1" x14ac:dyDescent="0.3">
      <c r="C57" s="129" t="s">
        <v>44</v>
      </c>
      <c r="D57" s="129" t="s">
        <v>55</v>
      </c>
      <c r="E57" s="136" t="s">
        <v>57</v>
      </c>
      <c r="F57" s="135" t="s">
        <v>27</v>
      </c>
      <c r="G57" s="133" t="s">
        <v>130</v>
      </c>
      <c r="H57" s="136" t="s">
        <v>46</v>
      </c>
      <c r="I57" s="133" t="s">
        <v>131</v>
      </c>
      <c r="J57" s="133" t="s">
        <v>409</v>
      </c>
      <c r="K57" s="133" t="s">
        <v>410</v>
      </c>
    </row>
    <row r="58" spans="3:11" x14ac:dyDescent="0.25">
      <c r="C58" s="220" t="s">
        <v>438</v>
      </c>
      <c r="D58" s="221"/>
      <c r="E58" s="219">
        <f>HLOOKUP(C58,$AH$2:$BU$3,2,0)</f>
        <v>620</v>
      </c>
      <c r="F58" s="97">
        <f t="shared" ref="F58:F62" si="6">D58*E58</f>
        <v>0</v>
      </c>
      <c r="G58" s="161"/>
      <c r="H58" s="142"/>
      <c r="I58" s="130" t="e">
        <f>VLOOKUP(H58,Presupuesto!$B$11:$C$565,2,0)</f>
        <v>#N/A</v>
      </c>
      <c r="J58" s="218" t="s">
        <v>470</v>
      </c>
      <c r="K58" s="98" t="s">
        <v>394</v>
      </c>
    </row>
    <row r="59" spans="3:11" x14ac:dyDescent="0.25">
      <c r="C59" s="141" t="s">
        <v>1759</v>
      </c>
      <c r="D59" s="158">
        <v>1</v>
      </c>
      <c r="E59" s="123">
        <v>3500</v>
      </c>
      <c r="F59" s="97">
        <f t="shared" si="6"/>
        <v>3500</v>
      </c>
      <c r="G59" s="161" t="s">
        <v>128</v>
      </c>
      <c r="H59" s="142" t="s">
        <v>742</v>
      </c>
      <c r="I59" s="130" t="str">
        <f>VLOOKUP(H59,Presupuesto!$B$11:$C$565,2,0)</f>
        <v>OTROS SERVICIOS COMERCIALES Y FINANCIEROS</v>
      </c>
      <c r="J59" s="98" t="str">
        <f>$J$58</f>
        <v>Vinculación Universidad-Sociedad</v>
      </c>
      <c r="K59" s="98" t="s">
        <v>394</v>
      </c>
    </row>
    <row r="60" spans="3:11" x14ac:dyDescent="0.25">
      <c r="C60" s="141" t="s">
        <v>1760</v>
      </c>
      <c r="D60" s="158">
        <v>1</v>
      </c>
      <c r="E60" s="123">
        <v>1000</v>
      </c>
      <c r="F60" s="97">
        <f t="shared" si="6"/>
        <v>1000</v>
      </c>
      <c r="G60" s="161" t="s">
        <v>128</v>
      </c>
      <c r="H60" s="142" t="s">
        <v>742</v>
      </c>
      <c r="I60" s="130" t="str">
        <f>VLOOKUP(H60,Presupuesto!$B$11:$C$565,2,0)</f>
        <v>OTROS SERVICIOS COMERCIALES Y FINANCIEROS</v>
      </c>
      <c r="J60" s="98" t="str">
        <f t="shared" ref="J60:J62" si="7">$J$58</f>
        <v>Vinculación Universidad-Sociedad</v>
      </c>
      <c r="K60" s="98" t="s">
        <v>394</v>
      </c>
    </row>
    <row r="61" spans="3:11" x14ac:dyDescent="0.25">
      <c r="C61" s="141" t="s">
        <v>1704</v>
      </c>
      <c r="D61" s="158">
        <v>1</v>
      </c>
      <c r="E61" s="123">
        <v>400</v>
      </c>
      <c r="F61" s="97">
        <f t="shared" si="6"/>
        <v>400</v>
      </c>
      <c r="G61" s="161" t="s">
        <v>128</v>
      </c>
      <c r="H61" s="142" t="s">
        <v>660</v>
      </c>
      <c r="I61" s="130" t="str">
        <f>VLOOKUP(H61,Presupuesto!$B$11:$C$565,2,0)</f>
        <v>OTROS ALQUILERES</v>
      </c>
      <c r="J61" s="98" t="str">
        <f t="shared" si="7"/>
        <v>Vinculación Universidad-Sociedad</v>
      </c>
      <c r="K61" s="98" t="s">
        <v>394</v>
      </c>
    </row>
    <row r="62" spans="3:11" x14ac:dyDescent="0.25">
      <c r="C62" s="141" t="s">
        <v>1701</v>
      </c>
      <c r="D62" s="158">
        <v>90</v>
      </c>
      <c r="E62" s="123">
        <v>20</v>
      </c>
      <c r="F62" s="97">
        <f t="shared" si="6"/>
        <v>1800</v>
      </c>
      <c r="G62" s="161" t="s">
        <v>128</v>
      </c>
      <c r="H62" s="142" t="s">
        <v>791</v>
      </c>
      <c r="I62" s="130" t="str">
        <f>VLOOKUP(H62,Presupuesto!$B$11:$C$565,2,0)</f>
        <v>ALIMENTOS B EBIDAS PARA PERSONAS</v>
      </c>
      <c r="J62" s="98" t="str">
        <f t="shared" si="7"/>
        <v>Vinculación Universidad-Sociedad</v>
      </c>
      <c r="K62" s="98" t="s">
        <v>394</v>
      </c>
    </row>
    <row r="64" spans="3:11" ht="15.75" thickBot="1" x14ac:dyDescent="0.3"/>
    <row r="65" spans="3:11" ht="15.75" thickBot="1" x14ac:dyDescent="0.3">
      <c r="C65" s="157" t="s">
        <v>53</v>
      </c>
      <c r="D65" s="372">
        <f>SUM(F72:F73)</f>
        <v>1600</v>
      </c>
      <c r="F65" s="70"/>
      <c r="G65" s="79"/>
      <c r="H65" s="70"/>
      <c r="I65" s="70"/>
    </row>
    <row r="66" spans="3:11" x14ac:dyDescent="0.25">
      <c r="C66" s="70"/>
      <c r="D66" s="31"/>
      <c r="E66" s="93"/>
      <c r="F66" s="93"/>
      <c r="G66" s="93"/>
      <c r="H66" s="76"/>
      <c r="I66" s="76"/>
      <c r="J66" s="76"/>
      <c r="K66" s="112"/>
    </row>
    <row r="67" spans="3:11" x14ac:dyDescent="0.25">
      <c r="C67" s="70"/>
      <c r="D67" s="31"/>
      <c r="E67" s="93"/>
      <c r="F67" s="93"/>
      <c r="G67" s="93"/>
      <c r="H67" s="76"/>
      <c r="I67" s="76"/>
      <c r="J67" s="76"/>
      <c r="K67" s="112"/>
    </row>
    <row r="68" spans="3:11" ht="15.75" x14ac:dyDescent="0.25">
      <c r="C68" s="202" t="s">
        <v>391</v>
      </c>
      <c r="D68" s="368" t="s">
        <v>1799</v>
      </c>
      <c r="E68" s="93"/>
      <c r="F68" s="93"/>
      <c r="G68" s="93"/>
      <c r="H68" s="76"/>
      <c r="I68" s="76"/>
      <c r="J68" s="76"/>
      <c r="K68" s="112"/>
    </row>
    <row r="69" spans="3:11" ht="18.75" x14ac:dyDescent="0.25">
      <c r="C69" s="210" t="str">
        <f>IFERROR(VLOOKUP(D68,'1. Desarrollo e Innov. Curricu.'!$F:$G,2,FALSE),IFERROR(VLOOKUP(D68,'2. Investigación Científica'!$F:$G,2,FALSE),IFERROR(VLOOKUP(D68,'3. Vinculación Univ. Sociedad'!$F:$G,2,FALSE),IFERROR(VLOOKUP(D68,'4. Docencia y Profesorado Univ.'!$F:$G,2,FALSE),IFERROR(VLOOKUP(D68,'5. Estudiantes y Graduados'!$F:$G,2,FALSE),IFERROR(VLOOKUP(D68,'11. Gestion Administrativa'!$F:$G,2,FALSE),IFERROR(VLOOKUP(D68,'13. Gestión Académica'!$F:$G,2,FALSE),IFERROR(VLOOKUP(D68,'9. Asegura. de la Calid. y M'!$F:$G,2,FALSE),IFERROR(VLOOKUP(D68,'6. Gestión del Conocimiento'!$F:$G,2,FALSE),IFERROR(VLOOKUP(D68,'15. Gobernabilidad y Proceso...'!$F:$G,2,FALSE),IFERROR(VLOOKUP(D68,'12. Gestión del Talento Humano'!$F:$G,2,FALSE),IFERROR(VLOOKUP(D68,'14. Internacional... de la E.S.'!$F:$G,2,FALSE),IFERROR(VLOOKUP(D68,'10. Posgrado'!$F:$G,2,FALSE),IFERROR(VLOOKUP(D68,'17. Gestión TIC'!$F:$G,2,FALSE),IFERROR(VLOOKUP(D68,'16. Desa. del Sistema Educ.Sup.'!$F:$G,2,FALSE),IFERROR(VLOOKUP(D68,'8. Cultura de Inno. Insti...'!$F:$G,2,FALSE),VLOOKUP(D68,'7. Lo Esencial de la Reforma U.'!$F:$G,2,0)))))))))))))))))</f>
        <v>Gestionar con la Vice Rectoria Academica  una capacitaciòn sobre las normas acadèmicas de la UNAH</v>
      </c>
      <c r="D69" s="31"/>
      <c r="E69" s="93"/>
      <c r="F69" s="93"/>
      <c r="G69" s="93"/>
      <c r="H69" s="76"/>
      <c r="I69" s="76"/>
      <c r="J69" s="76"/>
      <c r="K69" s="112"/>
    </row>
    <row r="70" spans="3:11" ht="15.75" thickBot="1" x14ac:dyDescent="0.3">
      <c r="F70" s="93"/>
      <c r="G70" s="76"/>
      <c r="H70" s="76"/>
      <c r="I70" s="76"/>
    </row>
    <row r="71" spans="3:11" ht="30.75" thickBot="1" x14ac:dyDescent="0.3">
      <c r="C71" s="129" t="s">
        <v>44</v>
      </c>
      <c r="D71" s="129" t="s">
        <v>55</v>
      </c>
      <c r="E71" s="136" t="s">
        <v>57</v>
      </c>
      <c r="F71" s="135" t="s">
        <v>27</v>
      </c>
      <c r="G71" s="133" t="s">
        <v>130</v>
      </c>
      <c r="H71" s="136" t="s">
        <v>46</v>
      </c>
      <c r="I71" s="133" t="s">
        <v>131</v>
      </c>
      <c r="J71" s="133" t="s">
        <v>409</v>
      </c>
      <c r="K71" s="133" t="s">
        <v>410</v>
      </c>
    </row>
    <row r="72" spans="3:11" x14ac:dyDescent="0.25">
      <c r="C72" s="220" t="s">
        <v>427</v>
      </c>
      <c r="D72" s="221">
        <v>0.5</v>
      </c>
      <c r="E72" s="219">
        <f>HLOOKUP(C72,$AH$2:$BU$3,2,0)</f>
        <v>2000</v>
      </c>
      <c r="F72" s="97">
        <f t="shared" ref="F72:F73" si="8">D72*E72</f>
        <v>1000</v>
      </c>
      <c r="G72" s="161" t="s">
        <v>128</v>
      </c>
      <c r="H72" s="142" t="s">
        <v>760</v>
      </c>
      <c r="I72" s="130" t="str">
        <f>VLOOKUP(H72,Presupuesto!$B$11:$C$565,2,0)</f>
        <v>VIATICOS NACIONALES</v>
      </c>
      <c r="J72" s="218" t="s">
        <v>1357</v>
      </c>
      <c r="K72" s="98" t="s">
        <v>411</v>
      </c>
    </row>
    <row r="73" spans="3:11" x14ac:dyDescent="0.25">
      <c r="C73" s="141" t="s">
        <v>1712</v>
      </c>
      <c r="D73" s="158">
        <v>1</v>
      </c>
      <c r="E73" s="123">
        <v>600</v>
      </c>
      <c r="F73" s="97">
        <f t="shared" si="8"/>
        <v>600</v>
      </c>
      <c r="G73" s="161" t="s">
        <v>128</v>
      </c>
      <c r="H73" s="142" t="s">
        <v>870</v>
      </c>
      <c r="I73" s="130" t="str">
        <f>VLOOKUP(H73,Presupuesto!$B$11:$C$565,2,0)</f>
        <v>GASOLINA</v>
      </c>
      <c r="J73" s="98" t="str">
        <f>$J$72</f>
        <v>Docencia y Profesorado Universitario</v>
      </c>
      <c r="K73" s="98" t="s">
        <v>411</v>
      </c>
    </row>
    <row r="75" spans="3:11" ht="15.75" thickBot="1" x14ac:dyDescent="0.3">
      <c r="F75" s="90"/>
      <c r="G75" s="89"/>
      <c r="H75" s="90"/>
      <c r="I75" s="90"/>
    </row>
    <row r="76" spans="3:11" ht="15.75" thickBot="1" x14ac:dyDescent="0.3">
      <c r="C76" s="157" t="s">
        <v>53</v>
      </c>
      <c r="D76" s="372">
        <f>SUM(F83:F84)</f>
        <v>1600</v>
      </c>
      <c r="F76" s="70"/>
      <c r="G76" s="79"/>
      <c r="H76" s="70"/>
      <c r="I76" s="70"/>
    </row>
    <row r="77" spans="3:11" x14ac:dyDescent="0.25">
      <c r="C77" s="70"/>
      <c r="D77" s="31"/>
      <c r="E77" s="93"/>
      <c r="F77" s="93"/>
      <c r="G77" s="93"/>
      <c r="H77" s="76"/>
      <c r="I77" s="76"/>
      <c r="J77" s="76"/>
      <c r="K77" s="112"/>
    </row>
    <row r="78" spans="3:11" x14ac:dyDescent="0.25">
      <c r="C78" s="70"/>
      <c r="D78" s="31"/>
      <c r="E78" s="93"/>
      <c r="F78" s="93"/>
      <c r="G78" s="93"/>
      <c r="H78" s="76"/>
      <c r="I78" s="76"/>
      <c r="J78" s="76"/>
      <c r="K78" s="112"/>
    </row>
    <row r="79" spans="3:11" ht="15.75" x14ac:dyDescent="0.25">
      <c r="C79" s="202" t="s">
        <v>391</v>
      </c>
      <c r="D79" s="368" t="s">
        <v>1801</v>
      </c>
      <c r="E79" s="93"/>
      <c r="F79" s="93"/>
      <c r="G79" s="93"/>
      <c r="H79" s="76"/>
      <c r="I79" s="76"/>
      <c r="J79" s="76"/>
      <c r="K79" s="112"/>
    </row>
    <row r="80" spans="3:11" ht="18.75" x14ac:dyDescent="0.25">
      <c r="C80" s="210" t="str">
        <f>IFERROR(VLOOKUP(D79,'1. Desarrollo e Innov. Curricu.'!$F:$G,2,FALSE),IFERROR(VLOOKUP(D79,'2. Investigación Científica'!$F:$G,2,FALSE),IFERROR(VLOOKUP(D79,'3. Vinculación Univ. Sociedad'!$F:$G,2,FALSE),IFERROR(VLOOKUP(D79,'4. Docencia y Profesorado Univ.'!$F:$G,2,FALSE),IFERROR(VLOOKUP(D79,'5. Estudiantes y Graduados'!$F:$G,2,FALSE),IFERROR(VLOOKUP(D79,'11. Gestion Administrativa'!$F:$G,2,FALSE),IFERROR(VLOOKUP(D79,'13. Gestión Académica'!$F:$G,2,FALSE),IFERROR(VLOOKUP(D79,'9. Asegura. de la Calid. y M'!$F:$G,2,FALSE),IFERROR(VLOOKUP(D79,'6. Gestión del Conocimiento'!$F:$G,2,FALSE),IFERROR(VLOOKUP(D79,'15. Gobernabilidad y Proceso...'!$F:$G,2,FALSE),IFERROR(VLOOKUP(D79,'12. Gestión del Talento Humano'!$F:$G,2,FALSE),IFERROR(VLOOKUP(D79,'14. Internacional... de la E.S.'!$F:$G,2,FALSE),IFERROR(VLOOKUP(D79,'10. Posgrado'!$F:$G,2,FALSE),IFERROR(VLOOKUP(D79,'17. Gestión TIC'!$F:$G,2,FALSE),IFERROR(VLOOKUP(D79,'16. Desa. del Sistema Educ.Sup.'!$F:$G,2,FALSE),IFERROR(VLOOKUP(D79,'8. Cultura de Inno. Insti...'!$F:$G,2,FALSE),VLOOKUP(D79,'7. Lo Esencial de la Reforma U.'!$F:$G,2,0)))))))))))))))))</f>
        <v>Gestionar con el ISPD un diplomado en Diseño Curricular</v>
      </c>
      <c r="D80" s="31"/>
      <c r="E80" s="93"/>
      <c r="F80" s="93"/>
      <c r="G80" s="93"/>
      <c r="H80" s="76"/>
      <c r="I80" s="76"/>
      <c r="J80" s="76"/>
      <c r="K80" s="112"/>
    </row>
    <row r="81" spans="3:11" ht="15.75" thickBot="1" x14ac:dyDescent="0.3">
      <c r="F81" s="93"/>
      <c r="G81" s="76"/>
      <c r="H81" s="76"/>
      <c r="I81" s="76"/>
    </row>
    <row r="82" spans="3:11" ht="30.75" thickBot="1" x14ac:dyDescent="0.3">
      <c r="C82" s="129" t="s">
        <v>44</v>
      </c>
      <c r="D82" s="129" t="s">
        <v>55</v>
      </c>
      <c r="E82" s="136" t="s">
        <v>57</v>
      </c>
      <c r="F82" s="135" t="s">
        <v>27</v>
      </c>
      <c r="G82" s="133" t="s">
        <v>130</v>
      </c>
      <c r="H82" s="136" t="s">
        <v>46</v>
      </c>
      <c r="I82" s="133" t="s">
        <v>131</v>
      </c>
      <c r="J82" s="133" t="s">
        <v>409</v>
      </c>
      <c r="K82" s="133" t="s">
        <v>410</v>
      </c>
    </row>
    <row r="83" spans="3:11" x14ac:dyDescent="0.25">
      <c r="C83" s="220" t="s">
        <v>427</v>
      </c>
      <c r="D83" s="221">
        <v>0.5</v>
      </c>
      <c r="E83" s="219">
        <f>HLOOKUP(C83,$AH$2:$BU$3,2,0)</f>
        <v>2000</v>
      </c>
      <c r="F83" s="97">
        <f t="shared" ref="F83:F84" si="9">D83*E83</f>
        <v>1000</v>
      </c>
      <c r="G83" s="161" t="s">
        <v>128</v>
      </c>
      <c r="H83" s="142" t="s">
        <v>760</v>
      </c>
      <c r="I83" s="130" t="str">
        <f>VLOOKUP(H83,Presupuesto!$B$11:$C$565,2,0)</f>
        <v>VIATICOS NACIONALES</v>
      </c>
      <c r="J83" s="218" t="s">
        <v>1356</v>
      </c>
      <c r="K83" s="98" t="s">
        <v>400</v>
      </c>
    </row>
    <row r="84" spans="3:11" x14ac:dyDescent="0.25">
      <c r="C84" s="141" t="s">
        <v>1712</v>
      </c>
      <c r="D84" s="158">
        <v>1</v>
      </c>
      <c r="E84" s="123">
        <v>600</v>
      </c>
      <c r="F84" s="97">
        <f t="shared" si="9"/>
        <v>600</v>
      </c>
      <c r="G84" s="161" t="s">
        <v>128</v>
      </c>
      <c r="H84" s="142" t="s">
        <v>870</v>
      </c>
      <c r="I84" s="130" t="str">
        <f>VLOOKUP(H84,Presupuesto!$B$11:$C$565,2,0)</f>
        <v>GASOLINA</v>
      </c>
      <c r="J84" s="98" t="str">
        <f>$J$83</f>
        <v>Desarrollo e Innovación Curricular</v>
      </c>
      <c r="K84" s="98" t="s">
        <v>400</v>
      </c>
    </row>
    <row r="86" spans="3:11" s="465" customFormat="1" ht="15.75" thickBot="1" x14ac:dyDescent="0.3">
      <c r="G86" s="452"/>
    </row>
    <row r="87" spans="3:11" s="465" customFormat="1" ht="15.75" thickBot="1" x14ac:dyDescent="0.3">
      <c r="C87" s="157" t="s">
        <v>53</v>
      </c>
      <c r="D87" s="372">
        <f>SUM(F94:F95)</f>
        <v>1600</v>
      </c>
      <c r="F87" s="70"/>
      <c r="G87" s="79"/>
      <c r="H87" s="70"/>
      <c r="I87" s="70"/>
    </row>
    <row r="88" spans="3:11" s="465" customFormat="1" x14ac:dyDescent="0.25">
      <c r="C88" s="70"/>
      <c r="D88" s="31"/>
      <c r="E88" s="93"/>
      <c r="F88" s="93"/>
      <c r="G88" s="93"/>
      <c r="H88" s="76"/>
      <c r="I88" s="76"/>
      <c r="J88" s="76"/>
      <c r="K88" s="112"/>
    </row>
    <row r="89" spans="3:11" s="465" customFormat="1" x14ac:dyDescent="0.25">
      <c r="C89" s="70"/>
      <c r="D89" s="31"/>
      <c r="E89" s="93"/>
      <c r="F89" s="93"/>
      <c r="G89" s="93"/>
      <c r="H89" s="76"/>
      <c r="I89" s="76"/>
      <c r="J89" s="76"/>
      <c r="K89" s="112"/>
    </row>
    <row r="90" spans="3:11" s="465" customFormat="1" ht="15.75" x14ac:dyDescent="0.25">
      <c r="C90" s="202" t="s">
        <v>391</v>
      </c>
      <c r="D90" s="368" t="s">
        <v>1809</v>
      </c>
      <c r="E90" s="93"/>
      <c r="F90" s="93"/>
      <c r="G90" s="93"/>
      <c r="H90" s="76"/>
      <c r="I90" s="76"/>
      <c r="J90" s="76"/>
      <c r="K90" s="112"/>
    </row>
    <row r="91" spans="3:11" s="465" customFormat="1" ht="18.75" x14ac:dyDescent="0.25">
      <c r="C91" s="210" t="str">
        <f>IFERROR(VLOOKUP(D90,'1. Desarrollo e Innov. Curricu.'!$F:$G,2,FALSE),IFERROR(VLOOKUP(D90,'2. Investigación Científica'!$F:$G,2,FALSE),IFERROR(VLOOKUP(D90,'3. Vinculación Univ. Sociedad'!$F:$G,2,FALSE),IFERROR(VLOOKUP(D90,'4. Docencia y Profesorado Univ.'!$F:$G,2,FALSE),IFERROR(VLOOKUP(D90,'5. Estudiantes y Graduados'!$F:$G,2,FALSE),IFERROR(VLOOKUP(D90,'11. Gestion Administrativa'!$F:$G,2,FALSE),IFERROR(VLOOKUP(D90,'13. Gestión Académica'!$F:$G,2,FALSE),IFERROR(VLOOKUP(D90,'9. Asegura. de la Calid. y M'!$F:$G,2,FALSE),IFERROR(VLOOKUP(D90,'6. Gestión del Conocimiento'!$F:$G,2,FALSE),IFERROR(VLOOKUP(D90,'15. Gobernabilidad y Proceso...'!$F:$G,2,FALSE),IFERROR(VLOOKUP(D90,'12. Gestión del Talento Humano'!$F:$G,2,FALSE),IFERROR(VLOOKUP(D90,'14. Internacional... de la E.S.'!$F:$G,2,FALSE),IFERROR(VLOOKUP(D90,'10. Posgrado'!$F:$G,2,FALSE),IFERROR(VLOOKUP(D90,'17. Gestión TIC'!$F:$G,2,FALSE),IFERROR(VLOOKUP(D90,'16. Desa. del Sistema Educ.Sup.'!$F:$G,2,FALSE),IFERROR(VLOOKUP(D90,'8. Cultura de Inno. Insti...'!$F:$G,2,FALSE),VLOOKUP(D90,'7. Lo Esencial de la Reforma U.'!$F:$G,2,0)))))))))))))))))</f>
        <v>Gestionar con el IPSD una capacitaciòn sobre el modelo educativo de la UNAH</v>
      </c>
      <c r="D91" s="31"/>
      <c r="E91" s="93"/>
      <c r="F91" s="93"/>
      <c r="G91" s="93"/>
      <c r="H91" s="76"/>
      <c r="I91" s="76"/>
      <c r="J91" s="76"/>
      <c r="K91" s="112"/>
    </row>
    <row r="92" spans="3:11" s="465" customFormat="1" ht="15.75" thickBot="1" x14ac:dyDescent="0.3">
      <c r="F92" s="93"/>
      <c r="G92" s="76"/>
      <c r="H92" s="76"/>
      <c r="I92" s="76"/>
    </row>
    <row r="93" spans="3:11" s="465" customFormat="1" ht="30.75" thickBot="1" x14ac:dyDescent="0.3">
      <c r="C93" s="129" t="s">
        <v>44</v>
      </c>
      <c r="D93" s="129" t="s">
        <v>55</v>
      </c>
      <c r="E93" s="136" t="s">
        <v>57</v>
      </c>
      <c r="F93" s="135" t="s">
        <v>27</v>
      </c>
      <c r="G93" s="133" t="s">
        <v>130</v>
      </c>
      <c r="H93" s="136" t="s">
        <v>46</v>
      </c>
      <c r="I93" s="133" t="s">
        <v>131</v>
      </c>
      <c r="J93" s="133" t="s">
        <v>409</v>
      </c>
      <c r="K93" s="133" t="s">
        <v>410</v>
      </c>
    </row>
    <row r="94" spans="3:11" s="465" customFormat="1" x14ac:dyDescent="0.25">
      <c r="C94" s="220" t="s">
        <v>427</v>
      </c>
      <c r="D94" s="221">
        <v>0.5</v>
      </c>
      <c r="E94" s="219">
        <f>HLOOKUP(C94,$AH$2:$BU$3,2,0)</f>
        <v>2000</v>
      </c>
      <c r="F94" s="97">
        <f t="shared" ref="F94:F95" si="10">D94*E94</f>
        <v>1000</v>
      </c>
      <c r="G94" s="161" t="s">
        <v>128</v>
      </c>
      <c r="H94" s="142" t="s">
        <v>760</v>
      </c>
      <c r="I94" s="130" t="str">
        <f>VLOOKUP(H94,Presupuesto!$B$11:$C$565,2,0)</f>
        <v>VIATICOS NACIONALES</v>
      </c>
      <c r="J94" s="218" t="s">
        <v>1356</v>
      </c>
      <c r="K94" s="98" t="s">
        <v>400</v>
      </c>
    </row>
    <row r="95" spans="3:11" s="465" customFormat="1" x14ac:dyDescent="0.25">
      <c r="C95" s="141" t="s">
        <v>1712</v>
      </c>
      <c r="D95" s="158">
        <v>1</v>
      </c>
      <c r="E95" s="123">
        <v>600</v>
      </c>
      <c r="F95" s="97">
        <f t="shared" si="10"/>
        <v>600</v>
      </c>
      <c r="G95" s="161" t="s">
        <v>128</v>
      </c>
      <c r="H95" s="142" t="s">
        <v>870</v>
      </c>
      <c r="I95" s="130" t="str">
        <f>VLOOKUP(H95,Presupuesto!$B$11:$C$565,2,0)</f>
        <v>GASOLINA</v>
      </c>
      <c r="J95" s="98" t="str">
        <f>$J$83</f>
        <v>Desarrollo e Innovación Curricular</v>
      </c>
      <c r="K95" s="98" t="s">
        <v>400</v>
      </c>
    </row>
    <row r="96" spans="3:11" s="465" customFormat="1" x14ac:dyDescent="0.25">
      <c r="G96" s="452"/>
    </row>
    <row r="97" spans="3:11" s="465" customFormat="1" x14ac:dyDescent="0.25">
      <c r="G97" s="452"/>
    </row>
    <row r="98" spans="3:11" s="465" customFormat="1" x14ac:dyDescent="0.25">
      <c r="G98" s="452"/>
    </row>
    <row r="99" spans="3:11" ht="15.75" thickBot="1" x14ac:dyDescent="0.3"/>
    <row r="100" spans="3:11" ht="15.75" thickBot="1" x14ac:dyDescent="0.3">
      <c r="C100" s="157" t="s">
        <v>53</v>
      </c>
      <c r="D100" s="372">
        <f>SUM(F107:F158)</f>
        <v>392578</v>
      </c>
      <c r="F100" s="70"/>
      <c r="G100" s="79"/>
      <c r="H100" s="70"/>
      <c r="I100" s="70"/>
    </row>
    <row r="101" spans="3:11" x14ac:dyDescent="0.25">
      <c r="C101" s="70"/>
      <c r="D101" s="31"/>
      <c r="E101" s="93"/>
      <c r="F101" s="93"/>
      <c r="G101" s="93"/>
      <c r="H101" s="76"/>
      <c r="I101" s="76"/>
      <c r="J101" s="76"/>
      <c r="K101" s="112"/>
    </row>
    <row r="102" spans="3:11" x14ac:dyDescent="0.25">
      <c r="C102" s="70"/>
      <c r="D102" s="31"/>
      <c r="E102" s="93"/>
      <c r="F102" s="93"/>
      <c r="G102" s="93"/>
      <c r="H102" s="76"/>
      <c r="I102" s="76"/>
      <c r="J102" s="76"/>
      <c r="K102" s="112"/>
    </row>
    <row r="103" spans="3:11" ht="15.75" x14ac:dyDescent="0.25">
      <c r="C103" s="202" t="s">
        <v>391</v>
      </c>
      <c r="D103" s="368" t="s">
        <v>1873</v>
      </c>
      <c r="E103" s="93"/>
      <c r="F103" s="93"/>
      <c r="G103" s="93"/>
      <c r="H103" s="76"/>
      <c r="I103" s="76"/>
      <c r="J103" s="76"/>
      <c r="K103" s="112"/>
    </row>
    <row r="104" spans="3:11" ht="18.75" x14ac:dyDescent="0.25">
      <c r="C104" s="795" t="str">
        <f>IFERROR(VLOOKUP(D103,'1. Desarrollo e Innov. Curricu.'!$F:$G,2,FALSE),IFERROR(VLOOKUP(D103,'2. Investigación Científica'!$F:$G,2,FALSE),IFERROR(VLOOKUP(D103,'3. Vinculación Univ. Sociedad'!$F:$G,2,FALSE),IFERROR(VLOOKUP(D103,'4. Docencia y Profesorado Univ.'!$F:$G,2,FALSE),IFERROR(VLOOKUP(D103,'5. Estudiantes y Graduados'!$F:$G,2,FALSE),IFERROR(VLOOKUP(D103,'11. Gestion Administrativa'!$F:$G,2,FALSE),IFERROR(VLOOKUP(D103,'13. Gestión Académica'!$F:$G,2,FALSE),IFERROR(VLOOKUP(D103,'9. Asegura. de la Calid. y M'!$F:$G,2,FALSE),IFERROR(VLOOKUP(D103,'6. Gestión del Conocimiento'!$F:$G,2,FALSE),IFERROR(VLOOKUP(D103,'15. Gobernabilidad y Proceso...'!$F:$G,2,FALSE),IFERROR(VLOOKUP(D103,'12. Gestión del Talento Humano'!$F:$G,2,FALSE),IFERROR(VLOOKUP(D103,'14. Internacional... de la E.S.'!$F:$G,2,FALSE),IFERROR(VLOOKUP(D103,'10. Posgrado'!$F:$G,2,FALSE),IFERROR(VLOOKUP(D103,'17. Gestión TIC'!$F:$G,2,FALSE),IFERROR(VLOOKUP(D103,'16. Desa. del Sistema Educ.Sup.'!$F:$G,2,FALSE),IFERROR(VLOOKUP(D103,'8. Cultura de Inno. Insti...'!$F:$G,2,FALSE),VLOOKUP(D103,'7. Lo Esencial de la Reforma U.'!$F:$G,2,0)))))))))))))))))</f>
        <v xml:space="preserve">Gestión de equipamiento del departamento de Quimica, Ciencias </v>
      </c>
      <c r="D104" s="796"/>
      <c r="E104" s="93"/>
      <c r="F104" s="93"/>
      <c r="G104" s="93"/>
      <c r="H104" s="76"/>
      <c r="I104" s="76"/>
      <c r="J104" s="76"/>
      <c r="K104" s="112"/>
    </row>
    <row r="105" spans="3:11" ht="15.75" thickBot="1" x14ac:dyDescent="0.3">
      <c r="F105" s="93"/>
      <c r="G105" s="76"/>
      <c r="H105" s="76"/>
      <c r="I105" s="76"/>
    </row>
    <row r="106" spans="3:11" ht="30.75" thickBot="1" x14ac:dyDescent="0.3">
      <c r="C106" s="129" t="s">
        <v>44</v>
      </c>
      <c r="D106" s="129" t="s">
        <v>55</v>
      </c>
      <c r="E106" s="136" t="s">
        <v>57</v>
      </c>
      <c r="F106" s="135" t="s">
        <v>27</v>
      </c>
      <c r="G106" s="133" t="s">
        <v>130</v>
      </c>
      <c r="H106" s="136" t="s">
        <v>46</v>
      </c>
      <c r="I106" s="133" t="s">
        <v>131</v>
      </c>
      <c r="J106" s="133" t="s">
        <v>409</v>
      </c>
      <c r="K106" s="133" t="s">
        <v>410</v>
      </c>
    </row>
    <row r="107" spans="3:11" x14ac:dyDescent="0.25">
      <c r="C107" s="220" t="s">
        <v>438</v>
      </c>
      <c r="D107" s="221"/>
      <c r="E107" s="219">
        <f>HLOOKUP(C107,$AH$2:$BU$3,2,0)</f>
        <v>620</v>
      </c>
      <c r="F107" s="97">
        <f t="shared" ref="F107:F123" si="11">D107*E107</f>
        <v>0</v>
      </c>
      <c r="G107" s="161"/>
      <c r="H107" s="142"/>
      <c r="I107" s="130" t="e">
        <f>VLOOKUP(H107,Presupuesto!$B$11:$C$565,2,0)</f>
        <v>#N/A</v>
      </c>
      <c r="J107" s="218" t="s">
        <v>1363</v>
      </c>
      <c r="K107" s="98" t="s">
        <v>393</v>
      </c>
    </row>
    <row r="108" spans="3:11" x14ac:dyDescent="0.25">
      <c r="C108" s="567" t="s">
        <v>1821</v>
      </c>
      <c r="D108" s="158">
        <v>1</v>
      </c>
      <c r="E108" s="123">
        <f>29617+8205</f>
        <v>37822</v>
      </c>
      <c r="F108" s="97">
        <f t="shared" si="11"/>
        <v>37822</v>
      </c>
      <c r="G108" s="161" t="s">
        <v>1691</v>
      </c>
      <c r="H108" s="142" t="s">
        <v>893</v>
      </c>
      <c r="I108" s="130" t="str">
        <f>VLOOKUP(H108,Presupuesto!$B$11:$C$565,2,0)</f>
        <v>PRODUCTOS QUIMICOS</v>
      </c>
      <c r="J108" s="98" t="str">
        <f t="shared" ref="J108:J158" si="12">$J$107</f>
        <v>Gestión Administrativa y  financiera en apoyo al Desarrollo Académico</v>
      </c>
      <c r="K108" s="98" t="s">
        <v>411</v>
      </c>
    </row>
    <row r="109" spans="3:11" x14ac:dyDescent="0.25">
      <c r="C109" s="567" t="s">
        <v>1822</v>
      </c>
      <c r="D109" s="158">
        <v>1</v>
      </c>
      <c r="E109" s="123">
        <v>1500</v>
      </c>
      <c r="F109" s="97">
        <f t="shared" si="11"/>
        <v>1500</v>
      </c>
      <c r="G109" s="161" t="s">
        <v>1691</v>
      </c>
      <c r="H109" s="142" t="s">
        <v>950</v>
      </c>
      <c r="I109" s="130" t="str">
        <f>VLOOKUP(H109,Presupuesto!$B$11:$C$565,2,0)</f>
        <v>INSTRUMENTOS MEDICOS QUIRURGICOS MENOR Y DE LABORATORIO</v>
      </c>
      <c r="J109" s="98" t="str">
        <f t="shared" si="12"/>
        <v>Gestión Administrativa y  financiera en apoyo al Desarrollo Académico</v>
      </c>
      <c r="K109" s="98" t="s">
        <v>411</v>
      </c>
    </row>
    <row r="110" spans="3:11" x14ac:dyDescent="0.25">
      <c r="C110" s="567" t="s">
        <v>1823</v>
      </c>
      <c r="D110" s="158">
        <v>1</v>
      </c>
      <c r="E110" s="123">
        <v>7000</v>
      </c>
      <c r="F110" s="97">
        <f t="shared" si="11"/>
        <v>7000</v>
      </c>
      <c r="G110" s="161" t="s">
        <v>1691</v>
      </c>
      <c r="H110" s="142" t="s">
        <v>950</v>
      </c>
      <c r="I110" s="130" t="str">
        <f>VLOOKUP(H110,Presupuesto!$B$11:$C$565,2,0)</f>
        <v>INSTRUMENTOS MEDICOS QUIRURGICOS MENOR Y DE LABORATORIO</v>
      </c>
      <c r="J110" s="98" t="str">
        <f t="shared" si="12"/>
        <v>Gestión Administrativa y  financiera en apoyo al Desarrollo Académico</v>
      </c>
      <c r="K110" s="98" t="s">
        <v>411</v>
      </c>
    </row>
    <row r="111" spans="3:11" x14ac:dyDescent="0.25">
      <c r="C111" s="567" t="s">
        <v>1824</v>
      </c>
      <c r="D111" s="158">
        <v>1</v>
      </c>
      <c r="E111" s="123">
        <v>4900</v>
      </c>
      <c r="F111" s="97">
        <f t="shared" si="11"/>
        <v>4900</v>
      </c>
      <c r="G111" s="161" t="s">
        <v>1691</v>
      </c>
      <c r="H111" s="142" t="s">
        <v>950</v>
      </c>
      <c r="I111" s="130" t="str">
        <f>VLOOKUP(H111,Presupuesto!$B$11:$C$565,2,0)</f>
        <v>INSTRUMENTOS MEDICOS QUIRURGICOS MENOR Y DE LABORATORIO</v>
      </c>
      <c r="J111" s="98" t="str">
        <f t="shared" si="12"/>
        <v>Gestión Administrativa y  financiera en apoyo al Desarrollo Académico</v>
      </c>
      <c r="K111" s="98" t="s">
        <v>400</v>
      </c>
    </row>
    <row r="112" spans="3:11" ht="30" x14ac:dyDescent="0.25">
      <c r="C112" s="567" t="s">
        <v>1825</v>
      </c>
      <c r="D112" s="158">
        <v>5</v>
      </c>
      <c r="E112" s="123">
        <v>3000</v>
      </c>
      <c r="F112" s="97">
        <f t="shared" si="11"/>
        <v>15000</v>
      </c>
      <c r="G112" s="161" t="s">
        <v>1691</v>
      </c>
      <c r="H112" s="142" t="s">
        <v>950</v>
      </c>
      <c r="I112" s="130" t="str">
        <f>VLOOKUP(H112,Presupuesto!$B$11:$C$565,2,0)</f>
        <v>INSTRUMENTOS MEDICOS QUIRURGICOS MENOR Y DE LABORATORIO</v>
      </c>
      <c r="J112" s="98" t="str">
        <f t="shared" si="12"/>
        <v>Gestión Administrativa y  financiera en apoyo al Desarrollo Académico</v>
      </c>
      <c r="K112" s="98" t="s">
        <v>411</v>
      </c>
    </row>
    <row r="113" spans="3:11" x14ac:dyDescent="0.25">
      <c r="C113" s="567" t="s">
        <v>1826</v>
      </c>
      <c r="D113" s="158">
        <v>4</v>
      </c>
      <c r="E113" s="123">
        <v>1540</v>
      </c>
      <c r="F113" s="97">
        <f t="shared" si="11"/>
        <v>6160</v>
      </c>
      <c r="G113" s="161" t="s">
        <v>1691</v>
      </c>
      <c r="H113" s="142" t="s">
        <v>950</v>
      </c>
      <c r="I113" s="130" t="str">
        <f>VLOOKUP(H113,Presupuesto!$B$11:$C$565,2,0)</f>
        <v>INSTRUMENTOS MEDICOS QUIRURGICOS MENOR Y DE LABORATORIO</v>
      </c>
      <c r="J113" s="98" t="str">
        <f t="shared" si="12"/>
        <v>Gestión Administrativa y  financiera en apoyo al Desarrollo Académico</v>
      </c>
      <c r="K113" s="98" t="s">
        <v>411</v>
      </c>
    </row>
    <row r="114" spans="3:11" ht="30" x14ac:dyDescent="0.25">
      <c r="C114" s="567" t="s">
        <v>1827</v>
      </c>
      <c r="D114" s="158">
        <v>5</v>
      </c>
      <c r="E114" s="123">
        <v>300</v>
      </c>
      <c r="F114" s="97">
        <f t="shared" si="11"/>
        <v>1500</v>
      </c>
      <c r="G114" s="161" t="s">
        <v>1691</v>
      </c>
      <c r="H114" s="142" t="s">
        <v>950</v>
      </c>
      <c r="I114" s="130" t="str">
        <f>VLOOKUP(H114,Presupuesto!$B$11:$C$565,2,0)</f>
        <v>INSTRUMENTOS MEDICOS QUIRURGICOS MENOR Y DE LABORATORIO</v>
      </c>
      <c r="J114" s="98" t="str">
        <f t="shared" si="12"/>
        <v>Gestión Administrativa y  financiera en apoyo al Desarrollo Académico</v>
      </c>
      <c r="K114" s="98" t="s">
        <v>411</v>
      </c>
    </row>
    <row r="115" spans="3:11" ht="30" x14ac:dyDescent="0.25">
      <c r="C115" s="567" t="s">
        <v>1828</v>
      </c>
      <c r="D115" s="158">
        <v>4</v>
      </c>
      <c r="E115" s="123">
        <v>660</v>
      </c>
      <c r="F115" s="97">
        <f t="shared" si="11"/>
        <v>2640</v>
      </c>
      <c r="G115" s="161" t="s">
        <v>1691</v>
      </c>
      <c r="H115" s="142" t="s">
        <v>950</v>
      </c>
      <c r="I115" s="130" t="str">
        <f>VLOOKUP(H115,Presupuesto!$B$11:$C$565,2,0)</f>
        <v>INSTRUMENTOS MEDICOS QUIRURGICOS MENOR Y DE LABORATORIO</v>
      </c>
      <c r="J115" s="98" t="str">
        <f t="shared" si="12"/>
        <v>Gestión Administrativa y  financiera en apoyo al Desarrollo Académico</v>
      </c>
      <c r="K115" s="98" t="s">
        <v>411</v>
      </c>
    </row>
    <row r="116" spans="3:11" ht="30" x14ac:dyDescent="0.25">
      <c r="C116" s="567" t="s">
        <v>1829</v>
      </c>
      <c r="D116" s="158">
        <v>5</v>
      </c>
      <c r="E116" s="123">
        <v>600</v>
      </c>
      <c r="F116" s="97">
        <f t="shared" si="11"/>
        <v>3000</v>
      </c>
      <c r="G116" s="161" t="s">
        <v>1691</v>
      </c>
      <c r="H116" s="142" t="s">
        <v>950</v>
      </c>
      <c r="I116" s="130" t="str">
        <f>VLOOKUP(H116,Presupuesto!$B$11:$C$565,2,0)</f>
        <v>INSTRUMENTOS MEDICOS QUIRURGICOS MENOR Y DE LABORATORIO</v>
      </c>
      <c r="J116" s="98" t="str">
        <f t="shared" si="12"/>
        <v>Gestión Administrativa y  financiera en apoyo al Desarrollo Académico</v>
      </c>
      <c r="K116" s="98" t="s">
        <v>411</v>
      </c>
    </row>
    <row r="117" spans="3:11" ht="45" x14ac:dyDescent="0.25">
      <c r="C117" s="567" t="s">
        <v>1830</v>
      </c>
      <c r="D117" s="158">
        <v>5</v>
      </c>
      <c r="E117" s="123">
        <v>600</v>
      </c>
      <c r="F117" s="97">
        <f t="shared" si="11"/>
        <v>3000</v>
      </c>
      <c r="G117" s="161" t="s">
        <v>1691</v>
      </c>
      <c r="H117" s="142" t="s">
        <v>950</v>
      </c>
      <c r="I117" s="130" t="str">
        <f>VLOOKUP(H117,Presupuesto!$B$11:$C$565,2,0)</f>
        <v>INSTRUMENTOS MEDICOS QUIRURGICOS MENOR Y DE LABORATORIO</v>
      </c>
      <c r="J117" s="98" t="str">
        <f t="shared" si="12"/>
        <v>Gestión Administrativa y  financiera en apoyo al Desarrollo Académico</v>
      </c>
      <c r="K117" s="98" t="s">
        <v>411</v>
      </c>
    </row>
    <row r="118" spans="3:11" ht="30" x14ac:dyDescent="0.25">
      <c r="C118" s="567" t="s">
        <v>1831</v>
      </c>
      <c r="D118" s="158">
        <v>5</v>
      </c>
      <c r="E118" s="123">
        <v>600</v>
      </c>
      <c r="F118" s="97">
        <f t="shared" si="11"/>
        <v>3000</v>
      </c>
      <c r="G118" s="161" t="s">
        <v>1691</v>
      </c>
      <c r="H118" s="142" t="s">
        <v>950</v>
      </c>
      <c r="I118" s="130" t="str">
        <f>VLOOKUP(H118,Presupuesto!$B$11:$C$565,2,0)</f>
        <v>INSTRUMENTOS MEDICOS QUIRURGICOS MENOR Y DE LABORATORIO</v>
      </c>
      <c r="J118" s="98" t="str">
        <f t="shared" si="12"/>
        <v>Gestión Administrativa y  financiera en apoyo al Desarrollo Académico</v>
      </c>
      <c r="K118" s="98" t="s">
        <v>411</v>
      </c>
    </row>
    <row r="119" spans="3:11" x14ac:dyDescent="0.25">
      <c r="C119" s="567" t="s">
        <v>1832</v>
      </c>
      <c r="D119" s="158">
        <v>5</v>
      </c>
      <c r="E119" s="123">
        <v>1500</v>
      </c>
      <c r="F119" s="97">
        <f t="shared" si="11"/>
        <v>7500</v>
      </c>
      <c r="G119" s="161" t="s">
        <v>1691</v>
      </c>
      <c r="H119" s="142" t="s">
        <v>950</v>
      </c>
      <c r="I119" s="130" t="str">
        <f>VLOOKUP(H119,Presupuesto!$B$11:$C$565,2,0)</f>
        <v>INSTRUMENTOS MEDICOS QUIRURGICOS MENOR Y DE LABORATORIO</v>
      </c>
      <c r="J119" s="98" t="str">
        <f t="shared" si="12"/>
        <v>Gestión Administrativa y  financiera en apoyo al Desarrollo Académico</v>
      </c>
      <c r="K119" s="98" t="s">
        <v>411</v>
      </c>
    </row>
    <row r="120" spans="3:11" ht="60" x14ac:dyDescent="0.25">
      <c r="C120" s="567" t="s">
        <v>1833</v>
      </c>
      <c r="D120" s="158">
        <v>2</v>
      </c>
      <c r="E120" s="123">
        <v>2500</v>
      </c>
      <c r="F120" s="97">
        <f t="shared" si="11"/>
        <v>5000</v>
      </c>
      <c r="G120" s="161" t="s">
        <v>1691</v>
      </c>
      <c r="H120" s="142" t="s">
        <v>950</v>
      </c>
      <c r="I120" s="130" t="str">
        <f>VLOOKUP(H120,Presupuesto!$B$11:$C$565,2,0)</f>
        <v>INSTRUMENTOS MEDICOS QUIRURGICOS MENOR Y DE LABORATORIO</v>
      </c>
      <c r="J120" s="98" t="str">
        <f t="shared" si="12"/>
        <v>Gestión Administrativa y  financiera en apoyo al Desarrollo Académico</v>
      </c>
      <c r="K120" s="98" t="s">
        <v>411</v>
      </c>
    </row>
    <row r="121" spans="3:11" ht="30" x14ac:dyDescent="0.25">
      <c r="C121" s="567" t="s">
        <v>1834</v>
      </c>
      <c r="D121" s="158">
        <v>1</v>
      </c>
      <c r="E121" s="123">
        <v>500</v>
      </c>
      <c r="F121" s="97">
        <f t="shared" si="11"/>
        <v>500</v>
      </c>
      <c r="G121" s="161" t="s">
        <v>1691</v>
      </c>
      <c r="H121" s="142" t="s">
        <v>950</v>
      </c>
      <c r="I121" s="130" t="str">
        <f>VLOOKUP(H121,Presupuesto!$B$11:$C$565,2,0)</f>
        <v>INSTRUMENTOS MEDICOS QUIRURGICOS MENOR Y DE LABORATORIO</v>
      </c>
      <c r="J121" s="98" t="str">
        <f t="shared" si="12"/>
        <v>Gestión Administrativa y  financiera en apoyo al Desarrollo Académico</v>
      </c>
      <c r="K121" s="98" t="s">
        <v>411</v>
      </c>
    </row>
    <row r="122" spans="3:11" ht="45" x14ac:dyDescent="0.25">
      <c r="C122" s="567" t="s">
        <v>1835</v>
      </c>
      <c r="D122" s="158">
        <v>3</v>
      </c>
      <c r="E122" s="123">
        <v>40</v>
      </c>
      <c r="F122" s="97">
        <f t="shared" si="11"/>
        <v>120</v>
      </c>
      <c r="G122" s="161" t="s">
        <v>1691</v>
      </c>
      <c r="H122" s="142" t="s">
        <v>950</v>
      </c>
      <c r="I122" s="130" t="str">
        <f>VLOOKUP(H122,Presupuesto!$B$11:$C$565,2,0)</f>
        <v>INSTRUMENTOS MEDICOS QUIRURGICOS MENOR Y DE LABORATORIO</v>
      </c>
      <c r="J122" s="98" t="str">
        <f t="shared" si="12"/>
        <v>Gestión Administrativa y  financiera en apoyo al Desarrollo Académico</v>
      </c>
      <c r="K122" s="98" t="s">
        <v>411</v>
      </c>
    </row>
    <row r="123" spans="3:11" ht="30" x14ac:dyDescent="0.25">
      <c r="C123" s="567" t="s">
        <v>1836</v>
      </c>
      <c r="D123" s="158">
        <v>5</v>
      </c>
      <c r="E123" s="123">
        <v>880</v>
      </c>
      <c r="F123" s="97">
        <f t="shared" si="11"/>
        <v>4400</v>
      </c>
      <c r="G123" s="161" t="s">
        <v>1691</v>
      </c>
      <c r="H123" s="142" t="s">
        <v>950</v>
      </c>
      <c r="I123" s="130" t="str">
        <f>VLOOKUP(H123,Presupuesto!$B$11:$C$565,2,0)</f>
        <v>INSTRUMENTOS MEDICOS QUIRURGICOS MENOR Y DE LABORATORIO</v>
      </c>
      <c r="J123" s="98" t="str">
        <f t="shared" si="12"/>
        <v>Gestión Administrativa y  financiera en apoyo al Desarrollo Académico</v>
      </c>
      <c r="K123" s="98" t="s">
        <v>411</v>
      </c>
    </row>
    <row r="124" spans="3:11" s="465" customFormat="1" ht="45" x14ac:dyDescent="0.25">
      <c r="C124" s="567" t="s">
        <v>1837</v>
      </c>
      <c r="D124" s="158">
        <v>1</v>
      </c>
      <c r="E124" s="123">
        <v>8800</v>
      </c>
      <c r="F124" s="97">
        <f t="shared" ref="F124:F158" si="13">D124*E124</f>
        <v>8800</v>
      </c>
      <c r="G124" s="161" t="s">
        <v>1691</v>
      </c>
      <c r="H124" s="142" t="s">
        <v>950</v>
      </c>
      <c r="I124" s="130" t="str">
        <f>VLOOKUP(H124,Presupuesto!$B$11:$C$565,2,0)</f>
        <v>INSTRUMENTOS MEDICOS QUIRURGICOS MENOR Y DE LABORATORIO</v>
      </c>
      <c r="J124" s="98" t="str">
        <f t="shared" si="12"/>
        <v>Gestión Administrativa y  financiera en apoyo al Desarrollo Académico</v>
      </c>
      <c r="K124" s="98" t="s">
        <v>411</v>
      </c>
    </row>
    <row r="125" spans="3:11" s="465" customFormat="1" ht="30" x14ac:dyDescent="0.25">
      <c r="C125" s="567" t="s">
        <v>1838</v>
      </c>
      <c r="D125" s="158">
        <v>5</v>
      </c>
      <c r="E125" s="123">
        <v>374</v>
      </c>
      <c r="F125" s="97">
        <f t="shared" si="13"/>
        <v>1870</v>
      </c>
      <c r="G125" s="161" t="s">
        <v>1691</v>
      </c>
      <c r="H125" s="142" t="s">
        <v>950</v>
      </c>
      <c r="I125" s="130" t="str">
        <f>VLOOKUP(H125,Presupuesto!$B$11:$C$565,2,0)</f>
        <v>INSTRUMENTOS MEDICOS QUIRURGICOS MENOR Y DE LABORATORIO</v>
      </c>
      <c r="J125" s="98" t="str">
        <f t="shared" si="12"/>
        <v>Gestión Administrativa y  financiera en apoyo al Desarrollo Académico</v>
      </c>
      <c r="K125" s="98" t="s">
        <v>411</v>
      </c>
    </row>
    <row r="126" spans="3:11" s="465" customFormat="1" x14ac:dyDescent="0.25">
      <c r="C126" s="567" t="s">
        <v>1839</v>
      </c>
      <c r="D126" s="158">
        <v>5</v>
      </c>
      <c r="E126" s="123">
        <v>300</v>
      </c>
      <c r="F126" s="97">
        <f t="shared" si="13"/>
        <v>1500</v>
      </c>
      <c r="G126" s="161" t="s">
        <v>1691</v>
      </c>
      <c r="H126" s="142" t="s">
        <v>950</v>
      </c>
      <c r="I126" s="130" t="str">
        <f>VLOOKUP(H126,Presupuesto!$B$11:$C$565,2,0)</f>
        <v>INSTRUMENTOS MEDICOS QUIRURGICOS MENOR Y DE LABORATORIO</v>
      </c>
      <c r="J126" s="98" t="str">
        <f t="shared" si="12"/>
        <v>Gestión Administrativa y  financiera en apoyo al Desarrollo Académico</v>
      </c>
      <c r="K126" s="98" t="s">
        <v>411</v>
      </c>
    </row>
    <row r="127" spans="3:11" s="465" customFormat="1" x14ac:dyDescent="0.25">
      <c r="C127" s="567" t="s">
        <v>1840</v>
      </c>
      <c r="D127" s="158">
        <v>5</v>
      </c>
      <c r="E127" s="123">
        <v>400</v>
      </c>
      <c r="F127" s="97">
        <f t="shared" si="13"/>
        <v>2000</v>
      </c>
      <c r="G127" s="161" t="s">
        <v>1691</v>
      </c>
      <c r="H127" s="142" t="s">
        <v>950</v>
      </c>
      <c r="I127" s="130" t="str">
        <f>VLOOKUP(H127,Presupuesto!$B$11:$C$565,2,0)</f>
        <v>INSTRUMENTOS MEDICOS QUIRURGICOS MENOR Y DE LABORATORIO</v>
      </c>
      <c r="J127" s="98" t="str">
        <f t="shared" si="12"/>
        <v>Gestión Administrativa y  financiera en apoyo al Desarrollo Académico</v>
      </c>
      <c r="K127" s="98" t="s">
        <v>411</v>
      </c>
    </row>
    <row r="128" spans="3:11" s="465" customFormat="1" x14ac:dyDescent="0.25">
      <c r="C128" s="567" t="s">
        <v>1841</v>
      </c>
      <c r="D128" s="158">
        <v>5</v>
      </c>
      <c r="E128" s="123">
        <v>600</v>
      </c>
      <c r="F128" s="97">
        <f t="shared" si="13"/>
        <v>3000</v>
      </c>
      <c r="G128" s="161" t="s">
        <v>1691</v>
      </c>
      <c r="H128" s="142" t="s">
        <v>950</v>
      </c>
      <c r="I128" s="130" t="str">
        <f>VLOOKUP(H128,Presupuesto!$B$11:$C$565,2,0)</f>
        <v>INSTRUMENTOS MEDICOS QUIRURGICOS MENOR Y DE LABORATORIO</v>
      </c>
      <c r="J128" s="98" t="str">
        <f t="shared" si="12"/>
        <v>Gestión Administrativa y  financiera en apoyo al Desarrollo Académico</v>
      </c>
      <c r="K128" s="98" t="s">
        <v>411</v>
      </c>
    </row>
    <row r="129" spans="3:11" s="465" customFormat="1" x14ac:dyDescent="0.25">
      <c r="C129" s="567" t="s">
        <v>1842</v>
      </c>
      <c r="D129" s="158">
        <v>5</v>
      </c>
      <c r="E129" s="123">
        <v>154</v>
      </c>
      <c r="F129" s="97">
        <f t="shared" si="13"/>
        <v>770</v>
      </c>
      <c r="G129" s="161" t="s">
        <v>1691</v>
      </c>
      <c r="H129" s="142" t="s">
        <v>950</v>
      </c>
      <c r="I129" s="130" t="str">
        <f>VLOOKUP(H129,Presupuesto!$B$11:$C$565,2,0)</f>
        <v>INSTRUMENTOS MEDICOS QUIRURGICOS MENOR Y DE LABORATORIO</v>
      </c>
      <c r="J129" s="98" t="str">
        <f t="shared" si="12"/>
        <v>Gestión Administrativa y  financiera en apoyo al Desarrollo Académico</v>
      </c>
      <c r="K129" s="98" t="s">
        <v>411</v>
      </c>
    </row>
    <row r="130" spans="3:11" s="465" customFormat="1" ht="30" x14ac:dyDescent="0.25">
      <c r="C130" s="567" t="s">
        <v>1843</v>
      </c>
      <c r="D130" s="158">
        <v>5</v>
      </c>
      <c r="E130" s="123">
        <v>600</v>
      </c>
      <c r="F130" s="97">
        <f t="shared" si="13"/>
        <v>3000</v>
      </c>
      <c r="G130" s="161" t="s">
        <v>1691</v>
      </c>
      <c r="H130" s="142" t="s">
        <v>950</v>
      </c>
      <c r="I130" s="130" t="str">
        <f>VLOOKUP(H130,Presupuesto!$B$11:$C$565,2,0)</f>
        <v>INSTRUMENTOS MEDICOS QUIRURGICOS MENOR Y DE LABORATORIO</v>
      </c>
      <c r="J130" s="98" t="str">
        <f t="shared" si="12"/>
        <v>Gestión Administrativa y  financiera en apoyo al Desarrollo Académico</v>
      </c>
      <c r="K130" s="98" t="s">
        <v>411</v>
      </c>
    </row>
    <row r="131" spans="3:11" s="465" customFormat="1" ht="45" x14ac:dyDescent="0.25">
      <c r="C131" s="567" t="s">
        <v>1844</v>
      </c>
      <c r="D131" s="158">
        <v>4</v>
      </c>
      <c r="E131" s="123">
        <v>880</v>
      </c>
      <c r="F131" s="97">
        <f t="shared" si="13"/>
        <v>3520</v>
      </c>
      <c r="G131" s="161" t="s">
        <v>1691</v>
      </c>
      <c r="H131" s="142" t="s">
        <v>950</v>
      </c>
      <c r="I131" s="130" t="str">
        <f>VLOOKUP(H131,Presupuesto!$B$11:$C$565,2,0)</f>
        <v>INSTRUMENTOS MEDICOS QUIRURGICOS MENOR Y DE LABORATORIO</v>
      </c>
      <c r="J131" s="98" t="str">
        <f t="shared" si="12"/>
        <v>Gestión Administrativa y  financiera en apoyo al Desarrollo Académico</v>
      </c>
      <c r="K131" s="98" t="s">
        <v>411</v>
      </c>
    </row>
    <row r="132" spans="3:11" s="465" customFormat="1" ht="30" x14ac:dyDescent="0.25">
      <c r="C132" s="567" t="s">
        <v>1845</v>
      </c>
      <c r="D132" s="158">
        <v>5</v>
      </c>
      <c r="E132" s="123">
        <v>1400</v>
      </c>
      <c r="F132" s="97">
        <f t="shared" si="13"/>
        <v>7000</v>
      </c>
      <c r="G132" s="161" t="s">
        <v>1691</v>
      </c>
      <c r="H132" s="142" t="s">
        <v>950</v>
      </c>
      <c r="I132" s="130" t="str">
        <f>VLOOKUP(H132,Presupuesto!$B$11:$C$565,2,0)</f>
        <v>INSTRUMENTOS MEDICOS QUIRURGICOS MENOR Y DE LABORATORIO</v>
      </c>
      <c r="J132" s="98" t="str">
        <f t="shared" si="12"/>
        <v>Gestión Administrativa y  financiera en apoyo al Desarrollo Académico</v>
      </c>
      <c r="K132" s="98" t="s">
        <v>411</v>
      </c>
    </row>
    <row r="133" spans="3:11" s="465" customFormat="1" ht="45" x14ac:dyDescent="0.25">
      <c r="C133" s="567" t="s">
        <v>1846</v>
      </c>
      <c r="D133" s="158">
        <v>5</v>
      </c>
      <c r="E133" s="123">
        <v>2500</v>
      </c>
      <c r="F133" s="97">
        <f t="shared" si="13"/>
        <v>12500</v>
      </c>
      <c r="G133" s="161" t="s">
        <v>1691</v>
      </c>
      <c r="H133" s="142" t="s">
        <v>950</v>
      </c>
      <c r="I133" s="130" t="str">
        <f>VLOOKUP(H133,Presupuesto!$B$11:$C$565,2,0)</f>
        <v>INSTRUMENTOS MEDICOS QUIRURGICOS MENOR Y DE LABORATORIO</v>
      </c>
      <c r="J133" s="98" t="str">
        <f t="shared" si="12"/>
        <v>Gestión Administrativa y  financiera en apoyo al Desarrollo Académico</v>
      </c>
      <c r="K133" s="98" t="s">
        <v>411</v>
      </c>
    </row>
    <row r="134" spans="3:11" s="465" customFormat="1" ht="30" x14ac:dyDescent="0.25">
      <c r="C134" s="567" t="s">
        <v>1847</v>
      </c>
      <c r="D134" s="158">
        <v>5</v>
      </c>
      <c r="E134" s="123">
        <v>1000</v>
      </c>
      <c r="F134" s="97">
        <f t="shared" si="13"/>
        <v>5000</v>
      </c>
      <c r="G134" s="161" t="s">
        <v>1691</v>
      </c>
      <c r="H134" s="142" t="s">
        <v>950</v>
      </c>
      <c r="I134" s="130" t="str">
        <f>VLOOKUP(H134,Presupuesto!$B$11:$C$565,2,0)</f>
        <v>INSTRUMENTOS MEDICOS QUIRURGICOS MENOR Y DE LABORATORIO</v>
      </c>
      <c r="J134" s="98" t="str">
        <f t="shared" si="12"/>
        <v>Gestión Administrativa y  financiera en apoyo al Desarrollo Académico</v>
      </c>
      <c r="K134" s="98" t="s">
        <v>411</v>
      </c>
    </row>
    <row r="135" spans="3:11" s="465" customFormat="1" ht="30" x14ac:dyDescent="0.25">
      <c r="C135" s="567" t="s">
        <v>1848</v>
      </c>
      <c r="D135" s="158">
        <v>4</v>
      </c>
      <c r="E135" s="123">
        <v>330</v>
      </c>
      <c r="F135" s="97">
        <f t="shared" si="13"/>
        <v>1320</v>
      </c>
      <c r="G135" s="161" t="s">
        <v>1691</v>
      </c>
      <c r="H135" s="142" t="s">
        <v>950</v>
      </c>
      <c r="I135" s="130" t="str">
        <f>VLOOKUP(H135,Presupuesto!$B$11:$C$565,2,0)</f>
        <v>INSTRUMENTOS MEDICOS QUIRURGICOS MENOR Y DE LABORATORIO</v>
      </c>
      <c r="J135" s="98" t="str">
        <f t="shared" si="12"/>
        <v>Gestión Administrativa y  financiera en apoyo al Desarrollo Académico</v>
      </c>
      <c r="K135" s="98" t="s">
        <v>411</v>
      </c>
    </row>
    <row r="136" spans="3:11" s="465" customFormat="1" ht="30" x14ac:dyDescent="0.25">
      <c r="C136" s="567" t="s">
        <v>1849</v>
      </c>
      <c r="D136" s="158">
        <v>5</v>
      </c>
      <c r="E136" s="123">
        <v>400</v>
      </c>
      <c r="F136" s="97">
        <f t="shared" si="13"/>
        <v>2000</v>
      </c>
      <c r="G136" s="161" t="s">
        <v>1691</v>
      </c>
      <c r="H136" s="142" t="s">
        <v>950</v>
      </c>
      <c r="I136" s="130" t="str">
        <f>VLOOKUP(H136,Presupuesto!$B$11:$C$565,2,0)</f>
        <v>INSTRUMENTOS MEDICOS QUIRURGICOS MENOR Y DE LABORATORIO</v>
      </c>
      <c r="J136" s="98" t="str">
        <f t="shared" si="12"/>
        <v>Gestión Administrativa y  financiera en apoyo al Desarrollo Académico</v>
      </c>
      <c r="K136" s="98" t="s">
        <v>411</v>
      </c>
    </row>
    <row r="137" spans="3:11" s="465" customFormat="1" x14ac:dyDescent="0.25">
      <c r="C137" s="567" t="s">
        <v>1850</v>
      </c>
      <c r="D137" s="158">
        <v>2</v>
      </c>
      <c r="E137" s="123">
        <v>500</v>
      </c>
      <c r="F137" s="97">
        <f t="shared" si="13"/>
        <v>1000</v>
      </c>
      <c r="G137" s="161" t="s">
        <v>1691</v>
      </c>
      <c r="H137" s="142" t="s">
        <v>950</v>
      </c>
      <c r="I137" s="130" t="str">
        <f>VLOOKUP(H137,Presupuesto!$B$11:$C$565,2,0)</f>
        <v>INSTRUMENTOS MEDICOS QUIRURGICOS MENOR Y DE LABORATORIO</v>
      </c>
      <c r="J137" s="98" t="str">
        <f t="shared" si="12"/>
        <v>Gestión Administrativa y  financiera en apoyo al Desarrollo Académico</v>
      </c>
      <c r="K137" s="98" t="s">
        <v>411</v>
      </c>
    </row>
    <row r="138" spans="3:11" s="465" customFormat="1" ht="45" x14ac:dyDescent="0.25">
      <c r="C138" s="567" t="s">
        <v>1851</v>
      </c>
      <c r="D138" s="158">
        <v>5</v>
      </c>
      <c r="E138" s="123">
        <v>100</v>
      </c>
      <c r="F138" s="97">
        <f t="shared" si="13"/>
        <v>500</v>
      </c>
      <c r="G138" s="161" t="s">
        <v>1691</v>
      </c>
      <c r="H138" s="142" t="s">
        <v>950</v>
      </c>
      <c r="I138" s="130" t="str">
        <f>VLOOKUP(H138,Presupuesto!$B$11:$C$565,2,0)</f>
        <v>INSTRUMENTOS MEDICOS QUIRURGICOS MENOR Y DE LABORATORIO</v>
      </c>
      <c r="J138" s="98" t="str">
        <f t="shared" si="12"/>
        <v>Gestión Administrativa y  financiera en apoyo al Desarrollo Académico</v>
      </c>
      <c r="K138" s="98" t="s">
        <v>411</v>
      </c>
    </row>
    <row r="139" spans="3:11" s="465" customFormat="1" x14ac:dyDescent="0.25">
      <c r="C139" s="567" t="s">
        <v>1852</v>
      </c>
      <c r="D139" s="158">
        <v>5</v>
      </c>
      <c r="E139" s="123">
        <v>100</v>
      </c>
      <c r="F139" s="97">
        <f t="shared" si="13"/>
        <v>500</v>
      </c>
      <c r="G139" s="161" t="s">
        <v>1691</v>
      </c>
      <c r="H139" s="142" t="s">
        <v>950</v>
      </c>
      <c r="I139" s="130" t="str">
        <f>VLOOKUP(H139,Presupuesto!$B$11:$C$565,2,0)</f>
        <v>INSTRUMENTOS MEDICOS QUIRURGICOS MENOR Y DE LABORATORIO</v>
      </c>
      <c r="J139" s="98" t="str">
        <f t="shared" si="12"/>
        <v>Gestión Administrativa y  financiera en apoyo al Desarrollo Académico</v>
      </c>
      <c r="K139" s="98" t="s">
        <v>411</v>
      </c>
    </row>
    <row r="140" spans="3:11" s="465" customFormat="1" ht="30" x14ac:dyDescent="0.25">
      <c r="C140" s="567" t="s">
        <v>1853</v>
      </c>
      <c r="D140" s="158">
        <v>5</v>
      </c>
      <c r="E140" s="123">
        <v>800</v>
      </c>
      <c r="F140" s="97">
        <f t="shared" si="13"/>
        <v>4000</v>
      </c>
      <c r="G140" s="161" t="s">
        <v>1691</v>
      </c>
      <c r="H140" s="142" t="s">
        <v>950</v>
      </c>
      <c r="I140" s="130" t="str">
        <f>VLOOKUP(H140,Presupuesto!$B$11:$C$565,2,0)</f>
        <v>INSTRUMENTOS MEDICOS QUIRURGICOS MENOR Y DE LABORATORIO</v>
      </c>
      <c r="J140" s="98" t="str">
        <f t="shared" si="12"/>
        <v>Gestión Administrativa y  financiera en apoyo al Desarrollo Académico</v>
      </c>
      <c r="K140" s="98" t="s">
        <v>411</v>
      </c>
    </row>
    <row r="141" spans="3:11" s="465" customFormat="1" ht="45" x14ac:dyDescent="0.25">
      <c r="C141" s="567" t="s">
        <v>1854</v>
      </c>
      <c r="D141" s="158">
        <v>7</v>
      </c>
      <c r="E141" s="123">
        <v>300</v>
      </c>
      <c r="F141" s="97">
        <f t="shared" si="13"/>
        <v>2100</v>
      </c>
      <c r="G141" s="161" t="s">
        <v>1691</v>
      </c>
      <c r="H141" s="142" t="s">
        <v>950</v>
      </c>
      <c r="I141" s="130" t="str">
        <f>VLOOKUP(H141,Presupuesto!$B$11:$C$565,2,0)</f>
        <v>INSTRUMENTOS MEDICOS QUIRURGICOS MENOR Y DE LABORATORIO</v>
      </c>
      <c r="J141" s="98" t="str">
        <f t="shared" si="12"/>
        <v>Gestión Administrativa y  financiera en apoyo al Desarrollo Académico</v>
      </c>
      <c r="K141" s="98" t="s">
        <v>411</v>
      </c>
    </row>
    <row r="142" spans="3:11" s="465" customFormat="1" ht="60" x14ac:dyDescent="0.25">
      <c r="C142" s="567" t="s">
        <v>1855</v>
      </c>
      <c r="D142" s="158">
        <v>5</v>
      </c>
      <c r="E142" s="123">
        <v>1300</v>
      </c>
      <c r="F142" s="97">
        <f t="shared" si="13"/>
        <v>6500</v>
      </c>
      <c r="G142" s="161" t="s">
        <v>1691</v>
      </c>
      <c r="H142" s="142" t="s">
        <v>950</v>
      </c>
      <c r="I142" s="130" t="str">
        <f>VLOOKUP(H142,Presupuesto!$B$11:$C$565,2,0)</f>
        <v>INSTRUMENTOS MEDICOS QUIRURGICOS MENOR Y DE LABORATORIO</v>
      </c>
      <c r="J142" s="98" t="str">
        <f t="shared" si="12"/>
        <v>Gestión Administrativa y  financiera en apoyo al Desarrollo Académico</v>
      </c>
      <c r="K142" s="98" t="s">
        <v>411</v>
      </c>
    </row>
    <row r="143" spans="3:11" s="465" customFormat="1" ht="30" x14ac:dyDescent="0.25">
      <c r="C143" s="567" t="s">
        <v>1856</v>
      </c>
      <c r="D143" s="158">
        <v>3</v>
      </c>
      <c r="E143" s="123">
        <v>1800</v>
      </c>
      <c r="F143" s="97">
        <f t="shared" si="13"/>
        <v>5400</v>
      </c>
      <c r="G143" s="161" t="s">
        <v>1691</v>
      </c>
      <c r="H143" s="142" t="s">
        <v>950</v>
      </c>
      <c r="I143" s="130" t="str">
        <f>VLOOKUP(H143,Presupuesto!$B$11:$C$565,2,0)</f>
        <v>INSTRUMENTOS MEDICOS QUIRURGICOS MENOR Y DE LABORATORIO</v>
      </c>
      <c r="J143" s="98" t="str">
        <f t="shared" si="12"/>
        <v>Gestión Administrativa y  financiera en apoyo al Desarrollo Académico</v>
      </c>
      <c r="K143" s="98" t="s">
        <v>411</v>
      </c>
    </row>
    <row r="144" spans="3:11" s="465" customFormat="1" ht="30" x14ac:dyDescent="0.25">
      <c r="C144" s="567" t="s">
        <v>1857</v>
      </c>
      <c r="D144" s="158">
        <v>2</v>
      </c>
      <c r="E144" s="123">
        <v>500</v>
      </c>
      <c r="F144" s="97">
        <f t="shared" si="13"/>
        <v>1000</v>
      </c>
      <c r="G144" s="161" t="s">
        <v>1691</v>
      </c>
      <c r="H144" s="142" t="s">
        <v>950</v>
      </c>
      <c r="I144" s="130" t="str">
        <f>VLOOKUP(H144,Presupuesto!$B$11:$C$565,2,0)</f>
        <v>INSTRUMENTOS MEDICOS QUIRURGICOS MENOR Y DE LABORATORIO</v>
      </c>
      <c r="J144" s="98" t="str">
        <f t="shared" si="12"/>
        <v>Gestión Administrativa y  financiera en apoyo al Desarrollo Académico</v>
      </c>
      <c r="K144" s="98" t="s">
        <v>411</v>
      </c>
    </row>
    <row r="145" spans="3:11" s="465" customFormat="1" ht="30" x14ac:dyDescent="0.25">
      <c r="C145" s="567" t="s">
        <v>1858</v>
      </c>
      <c r="D145" s="158">
        <v>2</v>
      </c>
      <c r="E145" s="123">
        <v>500</v>
      </c>
      <c r="F145" s="97">
        <f t="shared" si="13"/>
        <v>1000</v>
      </c>
      <c r="G145" s="161" t="s">
        <v>1691</v>
      </c>
      <c r="H145" s="142" t="s">
        <v>950</v>
      </c>
      <c r="I145" s="130" t="str">
        <f>VLOOKUP(H145,Presupuesto!$B$11:$C$565,2,0)</f>
        <v>INSTRUMENTOS MEDICOS QUIRURGICOS MENOR Y DE LABORATORIO</v>
      </c>
      <c r="J145" s="98" t="str">
        <f t="shared" si="12"/>
        <v>Gestión Administrativa y  financiera en apoyo al Desarrollo Académico</v>
      </c>
      <c r="K145" s="98" t="s">
        <v>411</v>
      </c>
    </row>
    <row r="146" spans="3:11" s="465" customFormat="1" ht="30" x14ac:dyDescent="0.25">
      <c r="C146" s="567" t="s">
        <v>1859</v>
      </c>
      <c r="D146" s="158">
        <v>2</v>
      </c>
      <c r="E146" s="123">
        <v>500</v>
      </c>
      <c r="F146" s="97">
        <f t="shared" si="13"/>
        <v>1000</v>
      </c>
      <c r="G146" s="161" t="s">
        <v>1691</v>
      </c>
      <c r="H146" s="142" t="s">
        <v>950</v>
      </c>
      <c r="I146" s="130" t="str">
        <f>VLOOKUP(H146,Presupuesto!$B$11:$C$565,2,0)</f>
        <v>INSTRUMENTOS MEDICOS QUIRURGICOS MENOR Y DE LABORATORIO</v>
      </c>
      <c r="J146" s="98" t="str">
        <f t="shared" si="12"/>
        <v>Gestión Administrativa y  financiera en apoyo al Desarrollo Académico</v>
      </c>
      <c r="K146" s="98" t="s">
        <v>411</v>
      </c>
    </row>
    <row r="147" spans="3:11" s="465" customFormat="1" ht="30" x14ac:dyDescent="0.25">
      <c r="C147" s="567" t="s">
        <v>1860</v>
      </c>
      <c r="D147" s="158">
        <v>4</v>
      </c>
      <c r="E147" s="123">
        <v>1500</v>
      </c>
      <c r="F147" s="97">
        <f t="shared" si="13"/>
        <v>6000</v>
      </c>
      <c r="G147" s="161" t="s">
        <v>1691</v>
      </c>
      <c r="H147" s="142" t="s">
        <v>950</v>
      </c>
      <c r="I147" s="130" t="str">
        <f>VLOOKUP(H147,Presupuesto!$B$11:$C$565,2,0)</f>
        <v>INSTRUMENTOS MEDICOS QUIRURGICOS MENOR Y DE LABORATORIO</v>
      </c>
      <c r="J147" s="98" t="str">
        <f t="shared" si="12"/>
        <v>Gestión Administrativa y  financiera en apoyo al Desarrollo Académico</v>
      </c>
      <c r="K147" s="98" t="s">
        <v>411</v>
      </c>
    </row>
    <row r="148" spans="3:11" s="465" customFormat="1" ht="45" x14ac:dyDescent="0.25">
      <c r="C148" s="567" t="s">
        <v>1861</v>
      </c>
      <c r="D148" s="158">
        <v>2</v>
      </c>
      <c r="E148" s="123">
        <v>2000</v>
      </c>
      <c r="F148" s="97">
        <f t="shared" si="13"/>
        <v>4000</v>
      </c>
      <c r="G148" s="161" t="s">
        <v>1691</v>
      </c>
      <c r="H148" s="142" t="s">
        <v>950</v>
      </c>
      <c r="I148" s="130" t="str">
        <f>VLOOKUP(H148,Presupuesto!$B$11:$C$565,2,0)</f>
        <v>INSTRUMENTOS MEDICOS QUIRURGICOS MENOR Y DE LABORATORIO</v>
      </c>
      <c r="J148" s="98" t="str">
        <f t="shared" si="12"/>
        <v>Gestión Administrativa y  financiera en apoyo al Desarrollo Académico</v>
      </c>
      <c r="K148" s="98" t="s">
        <v>411</v>
      </c>
    </row>
    <row r="149" spans="3:11" s="465" customFormat="1" x14ac:dyDescent="0.25">
      <c r="C149" s="567" t="s">
        <v>1862</v>
      </c>
      <c r="D149" s="158">
        <v>4</v>
      </c>
      <c r="E149" s="123">
        <v>3564</v>
      </c>
      <c r="F149" s="97">
        <f t="shared" si="13"/>
        <v>14256</v>
      </c>
      <c r="G149" s="161" t="s">
        <v>1691</v>
      </c>
      <c r="H149" s="142" t="s">
        <v>950</v>
      </c>
      <c r="I149" s="130" t="str">
        <f>VLOOKUP(H149,Presupuesto!$B$11:$C$565,2,0)</f>
        <v>INSTRUMENTOS MEDICOS QUIRURGICOS MENOR Y DE LABORATORIO</v>
      </c>
      <c r="J149" s="98" t="str">
        <f t="shared" si="12"/>
        <v>Gestión Administrativa y  financiera en apoyo al Desarrollo Académico</v>
      </c>
      <c r="K149" s="98" t="s">
        <v>411</v>
      </c>
    </row>
    <row r="150" spans="3:11" s="465" customFormat="1" x14ac:dyDescent="0.25">
      <c r="C150" s="567" t="s">
        <v>1863</v>
      </c>
      <c r="D150" s="158">
        <v>3</v>
      </c>
      <c r="E150" s="123">
        <v>500</v>
      </c>
      <c r="F150" s="97">
        <f t="shared" si="13"/>
        <v>1500</v>
      </c>
      <c r="G150" s="161" t="s">
        <v>1691</v>
      </c>
      <c r="H150" s="142" t="s">
        <v>950</v>
      </c>
      <c r="I150" s="130" t="str">
        <f>VLOOKUP(H150,Presupuesto!$B$11:$C$565,2,0)</f>
        <v>INSTRUMENTOS MEDICOS QUIRURGICOS MENOR Y DE LABORATORIO</v>
      </c>
      <c r="J150" s="98" t="str">
        <f t="shared" si="12"/>
        <v>Gestión Administrativa y  financiera en apoyo al Desarrollo Académico</v>
      </c>
      <c r="K150" s="98" t="s">
        <v>411</v>
      </c>
    </row>
    <row r="151" spans="3:11" s="465" customFormat="1" x14ac:dyDescent="0.25">
      <c r="C151" s="567" t="s">
        <v>1864</v>
      </c>
      <c r="D151" s="158">
        <v>1</v>
      </c>
      <c r="E151" s="123">
        <v>500</v>
      </c>
      <c r="F151" s="97">
        <f t="shared" si="13"/>
        <v>500</v>
      </c>
      <c r="G151" s="161" t="s">
        <v>1691</v>
      </c>
      <c r="H151" s="142" t="s">
        <v>950</v>
      </c>
      <c r="I151" s="130" t="str">
        <f>VLOOKUP(H151,Presupuesto!$B$11:$C$565,2,0)</f>
        <v>INSTRUMENTOS MEDICOS QUIRURGICOS MENOR Y DE LABORATORIO</v>
      </c>
      <c r="J151" s="98" t="str">
        <f t="shared" si="12"/>
        <v>Gestión Administrativa y  financiera en apoyo al Desarrollo Académico</v>
      </c>
      <c r="K151" s="98" t="s">
        <v>411</v>
      </c>
    </row>
    <row r="152" spans="3:11" s="465" customFormat="1" x14ac:dyDescent="0.25">
      <c r="C152" s="567" t="s">
        <v>1865</v>
      </c>
      <c r="D152" s="158">
        <v>5</v>
      </c>
      <c r="E152" s="123">
        <v>2000</v>
      </c>
      <c r="F152" s="97">
        <f t="shared" si="13"/>
        <v>10000</v>
      </c>
      <c r="G152" s="161" t="s">
        <v>1691</v>
      </c>
      <c r="H152" s="142" t="s">
        <v>950</v>
      </c>
      <c r="I152" s="130" t="str">
        <f>VLOOKUP(H152,Presupuesto!$B$11:$C$565,2,0)</f>
        <v>INSTRUMENTOS MEDICOS QUIRURGICOS MENOR Y DE LABORATORIO</v>
      </c>
      <c r="J152" s="98" t="str">
        <f t="shared" si="12"/>
        <v>Gestión Administrativa y  financiera en apoyo al Desarrollo Académico</v>
      </c>
      <c r="K152" s="98" t="s">
        <v>411</v>
      </c>
    </row>
    <row r="153" spans="3:11" s="465" customFormat="1" ht="45" x14ac:dyDescent="0.25">
      <c r="C153" s="567" t="s">
        <v>1866</v>
      </c>
      <c r="D153" s="158">
        <v>5</v>
      </c>
      <c r="E153" s="123">
        <v>500</v>
      </c>
      <c r="F153" s="97">
        <f t="shared" si="13"/>
        <v>2500</v>
      </c>
      <c r="G153" s="161" t="s">
        <v>1691</v>
      </c>
      <c r="H153" s="142" t="s">
        <v>950</v>
      </c>
      <c r="I153" s="130" t="str">
        <f>VLOOKUP(H153,Presupuesto!$B$11:$C$565,2,0)</f>
        <v>INSTRUMENTOS MEDICOS QUIRURGICOS MENOR Y DE LABORATORIO</v>
      </c>
      <c r="J153" s="98" t="str">
        <f t="shared" si="12"/>
        <v>Gestión Administrativa y  financiera en apoyo al Desarrollo Académico</v>
      </c>
      <c r="K153" s="98" t="s">
        <v>411</v>
      </c>
    </row>
    <row r="154" spans="3:11" s="465" customFormat="1" ht="90" x14ac:dyDescent="0.25">
      <c r="C154" s="567" t="s">
        <v>1867</v>
      </c>
      <c r="D154" s="158">
        <v>1</v>
      </c>
      <c r="E154" s="123">
        <v>4000</v>
      </c>
      <c r="F154" s="97">
        <f t="shared" si="13"/>
        <v>4000</v>
      </c>
      <c r="G154" s="161" t="s">
        <v>1691</v>
      </c>
      <c r="H154" s="142" t="s">
        <v>950</v>
      </c>
      <c r="I154" s="130" t="str">
        <f>VLOOKUP(H154,Presupuesto!$B$11:$C$565,2,0)</f>
        <v>INSTRUMENTOS MEDICOS QUIRURGICOS MENOR Y DE LABORATORIO</v>
      </c>
      <c r="J154" s="98" t="str">
        <f t="shared" si="12"/>
        <v>Gestión Administrativa y  financiera en apoyo al Desarrollo Académico</v>
      </c>
      <c r="K154" s="98" t="s">
        <v>411</v>
      </c>
    </row>
    <row r="155" spans="3:11" s="465" customFormat="1" ht="30" x14ac:dyDescent="0.25">
      <c r="C155" s="567" t="s">
        <v>1868</v>
      </c>
      <c r="D155" s="158">
        <v>5</v>
      </c>
      <c r="E155" s="123">
        <v>500</v>
      </c>
      <c r="F155" s="97">
        <f t="shared" si="13"/>
        <v>2500</v>
      </c>
      <c r="G155" s="161" t="s">
        <v>1691</v>
      </c>
      <c r="H155" s="142" t="s">
        <v>950</v>
      </c>
      <c r="I155" s="130" t="str">
        <f>VLOOKUP(H155,Presupuesto!$B$11:$C$565,2,0)</f>
        <v>INSTRUMENTOS MEDICOS QUIRURGICOS MENOR Y DE LABORATORIO</v>
      </c>
      <c r="J155" s="98" t="str">
        <f t="shared" si="12"/>
        <v>Gestión Administrativa y  financiera en apoyo al Desarrollo Académico</v>
      </c>
      <c r="K155" s="98" t="s">
        <v>411</v>
      </c>
    </row>
    <row r="156" spans="3:11" s="465" customFormat="1" ht="30" x14ac:dyDescent="0.25">
      <c r="C156" s="567" t="s">
        <v>1869</v>
      </c>
      <c r="D156" s="158">
        <v>1</v>
      </c>
      <c r="E156" s="123">
        <v>130000</v>
      </c>
      <c r="F156" s="97">
        <f t="shared" si="13"/>
        <v>130000</v>
      </c>
      <c r="G156" s="161" t="s">
        <v>1691</v>
      </c>
      <c r="H156" s="142" t="s">
        <v>1002</v>
      </c>
      <c r="I156" s="130" t="str">
        <f>VLOOKUP(H156,Presupuesto!$B$11:$C$565,2,0)</f>
        <v>EQUIPO MEDICO Y LABORATORIO</v>
      </c>
      <c r="J156" s="98" t="str">
        <f t="shared" si="12"/>
        <v>Gestión Administrativa y  financiera en apoyo al Desarrollo Académico</v>
      </c>
      <c r="K156" s="98" t="s">
        <v>411</v>
      </c>
    </row>
    <row r="157" spans="3:11" s="465" customFormat="1" ht="30" x14ac:dyDescent="0.25">
      <c r="C157" s="567" t="s">
        <v>1870</v>
      </c>
      <c r="D157" s="158">
        <v>2</v>
      </c>
      <c r="E157" s="123">
        <v>7600</v>
      </c>
      <c r="F157" s="97">
        <f t="shared" si="13"/>
        <v>15200</v>
      </c>
      <c r="G157" s="161" t="s">
        <v>1691</v>
      </c>
      <c r="H157" s="142" t="s">
        <v>1002</v>
      </c>
      <c r="I157" s="130" t="str">
        <f>VLOOKUP(H157,Presupuesto!$B$11:$C$565,2,0)</f>
        <v>EQUIPO MEDICO Y LABORATORIO</v>
      </c>
      <c r="J157" s="98" t="str">
        <f t="shared" si="12"/>
        <v>Gestión Administrativa y  financiera en apoyo al Desarrollo Académico</v>
      </c>
      <c r="K157" s="98" t="s">
        <v>411</v>
      </c>
    </row>
    <row r="158" spans="3:11" s="465" customFormat="1" x14ac:dyDescent="0.25">
      <c r="C158" s="567" t="s">
        <v>1871</v>
      </c>
      <c r="D158" s="158">
        <v>1</v>
      </c>
      <c r="E158" s="123">
        <v>23800</v>
      </c>
      <c r="F158" s="97">
        <f t="shared" si="13"/>
        <v>23800</v>
      </c>
      <c r="G158" s="161" t="s">
        <v>1691</v>
      </c>
      <c r="H158" s="142" t="s">
        <v>893</v>
      </c>
      <c r="I158" s="130" t="str">
        <f>VLOOKUP(H158,Presupuesto!$B$11:$C$565,2,0)</f>
        <v>PRODUCTOS QUIMICOS</v>
      </c>
      <c r="J158" s="98" t="str">
        <f t="shared" si="12"/>
        <v>Gestión Administrativa y  financiera en apoyo al Desarrollo Académico</v>
      </c>
      <c r="K158" s="98" t="s">
        <v>411</v>
      </c>
    </row>
    <row r="160" spans="3:11" ht="15.75" thickBot="1" x14ac:dyDescent="0.3">
      <c r="F160" s="90"/>
      <c r="G160" s="89"/>
      <c r="H160" s="90"/>
      <c r="I160" s="90"/>
    </row>
    <row r="161" spans="3:11" ht="15.75" thickBot="1" x14ac:dyDescent="0.3">
      <c r="C161" s="157" t="s">
        <v>53</v>
      </c>
      <c r="D161" s="372">
        <f>SUM(F168:F174)</f>
        <v>3671</v>
      </c>
      <c r="F161" s="70"/>
      <c r="G161" s="79"/>
      <c r="H161" s="70"/>
      <c r="I161" s="70"/>
    </row>
    <row r="162" spans="3:11" x14ac:dyDescent="0.25">
      <c r="C162" s="70"/>
      <c r="D162" s="31"/>
      <c r="E162" s="93"/>
      <c r="F162" s="93"/>
      <c r="G162" s="93"/>
      <c r="H162" s="76"/>
      <c r="I162" s="76"/>
      <c r="J162" s="76"/>
      <c r="K162" s="112"/>
    </row>
    <row r="163" spans="3:11" x14ac:dyDescent="0.25">
      <c r="C163" s="70"/>
      <c r="D163" s="31"/>
      <c r="E163" s="93"/>
      <c r="F163" s="93"/>
      <c r="G163" s="93"/>
      <c r="H163" s="76"/>
      <c r="I163" s="76"/>
      <c r="J163" s="76"/>
      <c r="K163" s="112"/>
    </row>
    <row r="164" spans="3:11" ht="15.75" x14ac:dyDescent="0.25">
      <c r="C164" s="202" t="s">
        <v>391</v>
      </c>
      <c r="D164" s="368" t="s">
        <v>1877</v>
      </c>
      <c r="E164" s="93"/>
      <c r="F164" s="93"/>
      <c r="G164" s="93"/>
      <c r="H164" s="76"/>
      <c r="I164" s="76"/>
      <c r="J164" s="76"/>
      <c r="K164" s="112"/>
    </row>
    <row r="165" spans="3:11" ht="18.75" x14ac:dyDescent="0.25">
      <c r="C165" s="210" t="str">
        <f>IFERROR(VLOOKUP(D164,'1. Desarrollo e Innov. Curricu.'!$F:$G,2,FALSE),IFERROR(VLOOKUP(D164,'2. Investigación Científica'!$F:$G,2,FALSE),IFERROR(VLOOKUP(D164,'3. Vinculación Univ. Sociedad'!$F:$G,2,FALSE),IFERROR(VLOOKUP(D164,'4. Docencia y Profesorado Univ.'!$F:$G,2,FALSE),IFERROR(VLOOKUP(D164,'5. Estudiantes y Graduados'!$F:$G,2,FALSE),IFERROR(VLOOKUP(D164,'11. Gestion Administrativa'!$F:$G,2,FALSE),IFERROR(VLOOKUP(D164,'13. Gestión Académica'!$F:$G,2,FALSE),IFERROR(VLOOKUP(D164,'9. Asegura. de la Calid. y M'!$F:$G,2,FALSE),IFERROR(VLOOKUP(D164,'6. Gestión del Conocimiento'!$F:$G,2,FALSE),IFERROR(VLOOKUP(D164,'15. Gobernabilidad y Proceso...'!$F:$G,2,FALSE),IFERROR(VLOOKUP(D164,'12. Gestión del Talento Humano'!$F:$G,2,FALSE),IFERROR(VLOOKUP(D164,'14. Internacional... de la E.S.'!$F:$G,2,FALSE),IFERROR(VLOOKUP(D164,'10. Posgrado'!$F:$G,2,FALSE),IFERROR(VLOOKUP(D164,'17. Gestión TIC'!$F:$G,2,FALSE),IFERROR(VLOOKUP(D164,'16. Desa. del Sistema Educ.Sup.'!$F:$G,2,FALSE),IFERROR(VLOOKUP(D164,'8. Cultura de Inno. Insti...'!$F:$G,2,FALSE),VLOOKUP(D164,'7. Lo Esencial de la Reforma U.'!$F:$G,2,0)))))))))))))))))</f>
        <v>Mantenimiento del vivero de plantas medicinales</v>
      </c>
      <c r="D165" s="31"/>
      <c r="E165" s="93"/>
      <c r="F165" s="93"/>
      <c r="G165" s="93"/>
      <c r="H165" s="76"/>
      <c r="I165" s="76"/>
      <c r="J165" s="76"/>
      <c r="K165" s="112"/>
    </row>
    <row r="166" spans="3:11" ht="15.75" thickBot="1" x14ac:dyDescent="0.3">
      <c r="F166" s="93"/>
      <c r="G166" s="76"/>
      <c r="H166" s="76"/>
      <c r="I166" s="76"/>
    </row>
    <row r="167" spans="3:11" ht="30.75" thickBot="1" x14ac:dyDescent="0.3">
      <c r="C167" s="129" t="s">
        <v>44</v>
      </c>
      <c r="D167" s="129" t="s">
        <v>55</v>
      </c>
      <c r="E167" s="136" t="s">
        <v>57</v>
      </c>
      <c r="F167" s="135" t="s">
        <v>27</v>
      </c>
      <c r="G167" s="133" t="s">
        <v>130</v>
      </c>
      <c r="H167" s="136" t="s">
        <v>46</v>
      </c>
      <c r="I167" s="133" t="s">
        <v>131</v>
      </c>
      <c r="J167" s="133" t="s">
        <v>409</v>
      </c>
      <c r="K167" s="133" t="s">
        <v>410</v>
      </c>
    </row>
    <row r="168" spans="3:11" x14ac:dyDescent="0.25">
      <c r="C168" s="220" t="s">
        <v>438</v>
      </c>
      <c r="D168" s="221"/>
      <c r="E168" s="219">
        <f>HLOOKUP(C168,$AH$2:$BU$3,2,0)</f>
        <v>620</v>
      </c>
      <c r="F168" s="97">
        <f t="shared" ref="F168:F174" si="14">D168*E168</f>
        <v>0</v>
      </c>
      <c r="G168" s="161"/>
      <c r="H168" s="142"/>
      <c r="I168" s="130" t="e">
        <f>VLOOKUP(H168,Presupuesto!$B$11:$C$565,2,0)</f>
        <v>#N/A</v>
      </c>
      <c r="J168" s="218" t="s">
        <v>1363</v>
      </c>
      <c r="K168" s="98" t="s">
        <v>394</v>
      </c>
    </row>
    <row r="169" spans="3:11" x14ac:dyDescent="0.25">
      <c r="C169" s="141" t="s">
        <v>1882</v>
      </c>
      <c r="D169" s="158">
        <v>3</v>
      </c>
      <c r="E169" s="123">
        <v>168</v>
      </c>
      <c r="F169" s="97">
        <f t="shared" si="14"/>
        <v>504</v>
      </c>
      <c r="G169" s="161" t="s">
        <v>128</v>
      </c>
      <c r="H169" s="142" t="s">
        <v>902</v>
      </c>
      <c r="I169" s="130" t="str">
        <f>VLOOKUP(H169,Presupuesto!$B$11:$C$565,2,0)</f>
        <v>HERRAMIENTAS MENORES</v>
      </c>
      <c r="J169" s="98" t="str">
        <f>$J$168</f>
        <v>Gestión Administrativa y  financiera en apoyo al Desarrollo Académico</v>
      </c>
      <c r="K169" s="98" t="s">
        <v>394</v>
      </c>
    </row>
    <row r="170" spans="3:11" x14ac:dyDescent="0.25">
      <c r="C170" s="141" t="s">
        <v>1883</v>
      </c>
      <c r="D170" s="158">
        <v>3</v>
      </c>
      <c r="E170" s="123">
        <v>74</v>
      </c>
      <c r="F170" s="97">
        <f t="shared" si="14"/>
        <v>222</v>
      </c>
      <c r="G170" s="161" t="s">
        <v>128</v>
      </c>
      <c r="H170" s="142" t="s">
        <v>902</v>
      </c>
      <c r="I170" s="130" t="str">
        <f>VLOOKUP(H170,Presupuesto!$B$11:$C$565,2,0)</f>
        <v>HERRAMIENTAS MENORES</v>
      </c>
      <c r="J170" s="98" t="str">
        <f t="shared" ref="J170:J174" si="15">$J$168</f>
        <v>Gestión Administrativa y  financiera en apoyo al Desarrollo Académico</v>
      </c>
      <c r="K170" s="98" t="s">
        <v>394</v>
      </c>
    </row>
    <row r="171" spans="3:11" x14ac:dyDescent="0.25">
      <c r="C171" s="141" t="s">
        <v>1884</v>
      </c>
      <c r="D171" s="158">
        <v>3</v>
      </c>
      <c r="E171" s="123">
        <v>160</v>
      </c>
      <c r="F171" s="97">
        <f t="shared" si="14"/>
        <v>480</v>
      </c>
      <c r="G171" s="161" t="s">
        <v>128</v>
      </c>
      <c r="H171" s="142" t="s">
        <v>902</v>
      </c>
      <c r="I171" s="130" t="str">
        <f>VLOOKUP(H171,Presupuesto!$B$11:$C$565,2,0)</f>
        <v>HERRAMIENTAS MENORES</v>
      </c>
      <c r="J171" s="98" t="str">
        <f t="shared" si="15"/>
        <v>Gestión Administrativa y  financiera en apoyo al Desarrollo Académico</v>
      </c>
      <c r="K171" s="98" t="s">
        <v>394</v>
      </c>
    </row>
    <row r="172" spans="3:11" x14ac:dyDescent="0.25">
      <c r="C172" s="141" t="s">
        <v>1885</v>
      </c>
      <c r="D172" s="158">
        <v>3</v>
      </c>
      <c r="E172" s="123">
        <v>335</v>
      </c>
      <c r="F172" s="97">
        <f t="shared" si="14"/>
        <v>1005</v>
      </c>
      <c r="G172" s="161" t="s">
        <v>128</v>
      </c>
      <c r="H172" s="142" t="s">
        <v>902</v>
      </c>
      <c r="I172" s="130" t="str">
        <f>VLOOKUP(H172,Presupuesto!$B$11:$C$565,2,0)</f>
        <v>HERRAMIENTAS MENORES</v>
      </c>
      <c r="J172" s="98" t="str">
        <f t="shared" si="15"/>
        <v>Gestión Administrativa y  financiera en apoyo al Desarrollo Académico</v>
      </c>
      <c r="K172" s="98" t="s">
        <v>394</v>
      </c>
    </row>
    <row r="173" spans="3:11" x14ac:dyDescent="0.25">
      <c r="C173" s="141" t="s">
        <v>1886</v>
      </c>
      <c r="D173" s="158">
        <v>1</v>
      </c>
      <c r="E173" s="123">
        <v>560</v>
      </c>
      <c r="F173" s="97">
        <f t="shared" si="14"/>
        <v>560</v>
      </c>
      <c r="G173" s="161" t="s">
        <v>128</v>
      </c>
      <c r="H173" s="142" t="s">
        <v>848</v>
      </c>
      <c r="I173" s="130" t="str">
        <f>VLOOKUP(H173,Presupuesto!$B$11:$C$565,2,0)</f>
        <v>ARTICULOS DE CAUCHO</v>
      </c>
      <c r="J173" s="98" t="str">
        <f t="shared" si="15"/>
        <v>Gestión Administrativa y  financiera en apoyo al Desarrollo Académico</v>
      </c>
      <c r="K173" s="98" t="s">
        <v>394</v>
      </c>
    </row>
    <row r="174" spans="3:11" x14ac:dyDescent="0.25">
      <c r="C174" s="141" t="s">
        <v>1887</v>
      </c>
      <c r="D174" s="158">
        <v>10</v>
      </c>
      <c r="E174" s="123">
        <v>90</v>
      </c>
      <c r="F174" s="97">
        <f t="shared" si="14"/>
        <v>900</v>
      </c>
      <c r="G174" s="161" t="s">
        <v>128</v>
      </c>
      <c r="H174" s="142" t="s">
        <v>863</v>
      </c>
      <c r="I174" s="130" t="str">
        <f>VLOOKUP(H174,Presupuesto!$B$11:$C$565,2,0)</f>
        <v>ABONOS Y FERTILIZANTES</v>
      </c>
      <c r="J174" s="98" t="str">
        <f t="shared" si="15"/>
        <v>Gestión Administrativa y  financiera en apoyo al Desarrollo Académico</v>
      </c>
      <c r="K174" s="98" t="s">
        <v>394</v>
      </c>
    </row>
    <row r="176" spans="3:11" s="465" customFormat="1" ht="15.75" thickBot="1" x14ac:dyDescent="0.3">
      <c r="G176" s="452"/>
    </row>
    <row r="177" spans="3:11" s="465" customFormat="1" ht="15.75" thickBot="1" x14ac:dyDescent="0.3">
      <c r="C177" s="157" t="s">
        <v>53</v>
      </c>
      <c r="D177" s="372">
        <f>SUM(F184:F186)</f>
        <v>3200</v>
      </c>
      <c r="F177" s="70"/>
      <c r="G177" s="79"/>
      <c r="H177" s="70"/>
      <c r="I177" s="70"/>
    </row>
    <row r="178" spans="3:11" s="465" customFormat="1" x14ac:dyDescent="0.25">
      <c r="C178" s="70"/>
      <c r="D178" s="31"/>
      <c r="E178" s="93"/>
      <c r="F178" s="93"/>
      <c r="G178" s="93"/>
      <c r="H178" s="76"/>
      <c r="I178" s="76"/>
      <c r="J178" s="76"/>
      <c r="K178" s="112"/>
    </row>
    <row r="179" spans="3:11" s="465" customFormat="1" x14ac:dyDescent="0.25">
      <c r="C179" s="70"/>
      <c r="D179" s="31"/>
      <c r="E179" s="93"/>
      <c r="F179" s="93"/>
      <c r="G179" s="93"/>
      <c r="H179" s="76"/>
      <c r="I179" s="76"/>
      <c r="J179" s="76"/>
      <c r="K179" s="112"/>
    </row>
    <row r="180" spans="3:11" s="465" customFormat="1" ht="15.75" x14ac:dyDescent="0.25">
      <c r="C180" s="202" t="s">
        <v>391</v>
      </c>
      <c r="D180" s="368" t="s">
        <v>1889</v>
      </c>
      <c r="E180" s="93"/>
      <c r="F180" s="93"/>
      <c r="G180" s="93"/>
      <c r="H180" s="76"/>
      <c r="I180" s="76"/>
      <c r="J180" s="76"/>
      <c r="K180" s="112"/>
    </row>
    <row r="181" spans="3:11" s="465" customFormat="1" ht="18.75" x14ac:dyDescent="0.25">
      <c r="C181" s="210" t="str">
        <f>IFERROR(VLOOKUP(D180,'1. Desarrollo e Innov. Curricu.'!$F:$G,2,FALSE),IFERROR(VLOOKUP(D180,'2. Investigación Científica'!$F:$G,2,FALSE),IFERROR(VLOOKUP(D180,'3. Vinculación Univ. Sociedad'!$F:$G,2,FALSE),IFERROR(VLOOKUP(D180,'4. Docencia y Profesorado Univ.'!$F:$G,2,FALSE),IFERROR(VLOOKUP(D180,'5. Estudiantes y Graduados'!$F:$G,2,FALSE),IFERROR(VLOOKUP(D180,'11. Gestion Administrativa'!$F:$G,2,FALSE),IFERROR(VLOOKUP(D180,'13. Gestión Académica'!$F:$G,2,FALSE),IFERROR(VLOOKUP(D180,'9. Asegura. de la Calid. y M'!$F:$G,2,FALSE),IFERROR(VLOOKUP(D180,'6. Gestión del Conocimiento'!$F:$G,2,FALSE),IFERROR(VLOOKUP(D180,'15. Gobernabilidad y Proceso...'!$F:$G,2,FALSE),IFERROR(VLOOKUP(D180,'12. Gestión del Talento Humano'!$F:$G,2,FALSE),IFERROR(VLOOKUP(D180,'14. Internacional... de la E.S.'!$F:$G,2,FALSE),IFERROR(VLOOKUP(D180,'10. Posgrado'!$F:$G,2,FALSE),IFERROR(VLOOKUP(D180,'17. Gestión TIC'!$F:$G,2,FALSE),IFERROR(VLOOKUP(D180,'16. Desa. del Sistema Educ.Sup.'!$F:$G,2,FALSE),IFERROR(VLOOKUP(D180,'8. Cultura de Inno. Insti...'!$F:$G,2,FALSE),VLOOKUP(D180,'7. Lo Esencial de la Reforma U.'!$F:$G,2,0)))))))))))))))))</f>
        <v>Gestiones para la elaboración de sueros antiofídicos</v>
      </c>
      <c r="D181" s="31"/>
      <c r="E181" s="93"/>
      <c r="F181" s="93"/>
      <c r="G181" s="93"/>
      <c r="H181" s="76"/>
      <c r="I181" s="76"/>
      <c r="J181" s="76"/>
      <c r="K181" s="112"/>
    </row>
    <row r="182" spans="3:11" s="465" customFormat="1" ht="15.75" thickBot="1" x14ac:dyDescent="0.3">
      <c r="F182" s="93"/>
      <c r="G182" s="76"/>
      <c r="H182" s="76"/>
      <c r="I182" s="76"/>
    </row>
    <row r="183" spans="3:11" s="465" customFormat="1" ht="30.75" thickBot="1" x14ac:dyDescent="0.3">
      <c r="C183" s="129" t="s">
        <v>44</v>
      </c>
      <c r="D183" s="129" t="s">
        <v>55</v>
      </c>
      <c r="E183" s="136" t="s">
        <v>57</v>
      </c>
      <c r="F183" s="135" t="s">
        <v>27</v>
      </c>
      <c r="G183" s="133" t="s">
        <v>130</v>
      </c>
      <c r="H183" s="136" t="s">
        <v>46</v>
      </c>
      <c r="I183" s="133" t="s">
        <v>131</v>
      </c>
      <c r="J183" s="133" t="s">
        <v>409</v>
      </c>
      <c r="K183" s="133" t="s">
        <v>410</v>
      </c>
    </row>
    <row r="184" spans="3:11" s="465" customFormat="1" x14ac:dyDescent="0.25">
      <c r="C184" s="220" t="s">
        <v>427</v>
      </c>
      <c r="D184" s="221">
        <v>1</v>
      </c>
      <c r="E184" s="219">
        <f>HLOOKUP(C184,$AH$2:$BU$3,2,0)</f>
        <v>2000</v>
      </c>
      <c r="F184" s="97">
        <f t="shared" ref="F184:F185" si="16">D184*E184</f>
        <v>2000</v>
      </c>
      <c r="G184" s="161" t="s">
        <v>128</v>
      </c>
      <c r="H184" s="142" t="s">
        <v>760</v>
      </c>
      <c r="I184" s="130" t="str">
        <f>VLOOKUP(H184,Presupuesto!$B$11:$C$565,2,0)</f>
        <v>VIATICOS NACIONALES</v>
      </c>
      <c r="J184" s="218" t="s">
        <v>1363</v>
      </c>
      <c r="K184" s="98" t="s">
        <v>394</v>
      </c>
    </row>
    <row r="185" spans="3:11" s="465" customFormat="1" x14ac:dyDescent="0.25">
      <c r="C185" s="141" t="s">
        <v>1712</v>
      </c>
      <c r="D185" s="158">
        <v>2</v>
      </c>
      <c r="E185" s="123">
        <v>600</v>
      </c>
      <c r="F185" s="97">
        <f t="shared" si="16"/>
        <v>1200</v>
      </c>
      <c r="G185" s="161" t="s">
        <v>128</v>
      </c>
      <c r="H185" s="142" t="s">
        <v>870</v>
      </c>
      <c r="I185" s="130" t="str">
        <f>VLOOKUP(H185,Presupuesto!$B$11:$C$565,2,0)</f>
        <v>GASOLINA</v>
      </c>
      <c r="J185" s="98" t="str">
        <f>$J$168</f>
        <v>Gestión Administrativa y  financiera en apoyo al Desarrollo Académico</v>
      </c>
      <c r="K185" s="98" t="s">
        <v>394</v>
      </c>
    </row>
    <row r="186" spans="3:11" s="465" customFormat="1" x14ac:dyDescent="0.25">
      <c r="G186" s="452"/>
    </row>
    <row r="187" spans="3:11" s="465" customFormat="1" ht="15.75" thickBot="1" x14ac:dyDescent="0.3">
      <c r="G187" s="452"/>
    </row>
    <row r="188" spans="3:11" s="465" customFormat="1" ht="15.75" thickBot="1" x14ac:dyDescent="0.3">
      <c r="C188" s="157" t="s">
        <v>53</v>
      </c>
      <c r="D188" s="372">
        <f>SUM(F195:F197)</f>
        <v>10000</v>
      </c>
      <c r="F188" s="70"/>
      <c r="G188" s="79"/>
      <c r="H188" s="70"/>
      <c r="I188" s="70"/>
    </row>
    <row r="189" spans="3:11" s="465" customFormat="1" x14ac:dyDescent="0.25">
      <c r="C189" s="70"/>
      <c r="D189" s="31"/>
      <c r="E189" s="93"/>
      <c r="F189" s="93"/>
      <c r="G189" s="93"/>
      <c r="H189" s="76"/>
      <c r="I189" s="76"/>
      <c r="J189" s="76"/>
      <c r="K189" s="112"/>
    </row>
    <row r="190" spans="3:11" s="465" customFormat="1" x14ac:dyDescent="0.25">
      <c r="C190" s="70"/>
      <c r="D190" s="31"/>
      <c r="E190" s="93"/>
      <c r="F190" s="93"/>
      <c r="G190" s="93"/>
      <c r="H190" s="76"/>
      <c r="I190" s="76"/>
      <c r="J190" s="76"/>
      <c r="K190" s="112"/>
    </row>
    <row r="191" spans="3:11" s="465" customFormat="1" ht="15.75" x14ac:dyDescent="0.25">
      <c r="C191" s="202" t="s">
        <v>391</v>
      </c>
      <c r="D191" s="368" t="s">
        <v>1904</v>
      </c>
      <c r="E191" s="93"/>
      <c r="F191" s="93"/>
      <c r="G191" s="93"/>
      <c r="H191" s="76"/>
      <c r="I191" s="76"/>
      <c r="J191" s="76"/>
      <c r="K191" s="112"/>
    </row>
    <row r="192" spans="3:11" s="465" customFormat="1" ht="18.75" x14ac:dyDescent="0.25">
      <c r="C192" s="210" t="str">
        <f>IFERROR(VLOOKUP(D191,'1. Desarrollo e Innov. Curricu.'!$F:$G,2,FALSE),IFERROR(VLOOKUP(D191,'2. Investigación Científica'!$F:$G,2,FALSE),IFERROR(VLOOKUP(D191,'3. Vinculación Univ. Sociedad'!$F:$G,2,FALSE),IFERROR(VLOOKUP(D191,'4. Docencia y Profesorado Univ.'!$F:$G,2,FALSE),IFERROR(VLOOKUP(D191,'5. Estudiantes y Graduados'!$F:$G,2,FALSE),IFERROR(VLOOKUP(D191,'11. Gestion Administrativa'!$F:$G,2,FALSE),IFERROR(VLOOKUP(D191,'13. Gestión Académica'!$F:$G,2,FALSE),IFERROR(VLOOKUP(D191,'9. Asegura. de la Calid. y M'!$F:$G,2,FALSE),IFERROR(VLOOKUP(D191,'6. Gestión del Conocimiento'!$F:$G,2,FALSE),IFERROR(VLOOKUP(D191,'15. Gobernabilidad y Proceso...'!$F:$G,2,FALSE),IFERROR(VLOOKUP(D191,'12. Gestión del Talento Humano'!$F:$G,2,FALSE),IFERROR(VLOOKUP(D191,'14. Internacional... de la E.S.'!$F:$G,2,FALSE),IFERROR(VLOOKUP(D191,'10. Posgrado'!$F:$G,2,FALSE),IFERROR(VLOOKUP(D191,'17. Gestión TIC'!$F:$G,2,FALSE),IFERROR(VLOOKUP(D191,'16. Desa. del Sistema Educ.Sup.'!$F:$G,2,FALSE),IFERROR(VLOOKUP(D191,'8. Cultura de Inno. Insti...'!$F:$G,2,FALSE),VLOOKUP(D191,'7. Lo Esencial de la Reforma U.'!$F:$G,2,0)))))))))))))))))</f>
        <v>Participación con 4 ponenecias en el  congreso de investigación científica de la UNAH</v>
      </c>
      <c r="D192" s="31"/>
      <c r="E192" s="93"/>
      <c r="F192" s="93"/>
      <c r="G192" s="93"/>
      <c r="H192" s="76"/>
      <c r="I192" s="76"/>
      <c r="J192" s="76"/>
      <c r="K192" s="112"/>
    </row>
    <row r="193" spans="3:11" s="465" customFormat="1" ht="15.75" thickBot="1" x14ac:dyDescent="0.3">
      <c r="F193" s="93"/>
      <c r="G193" s="76"/>
      <c r="H193" s="76"/>
      <c r="I193" s="76"/>
    </row>
    <row r="194" spans="3:11" s="465" customFormat="1" ht="30.75" thickBot="1" x14ac:dyDescent="0.3">
      <c r="C194" s="129" t="s">
        <v>44</v>
      </c>
      <c r="D194" s="129" t="s">
        <v>55</v>
      </c>
      <c r="E194" s="136" t="s">
        <v>57</v>
      </c>
      <c r="F194" s="135" t="s">
        <v>27</v>
      </c>
      <c r="G194" s="133" t="s">
        <v>130</v>
      </c>
      <c r="H194" s="136" t="s">
        <v>46</v>
      </c>
      <c r="I194" s="133" t="s">
        <v>131</v>
      </c>
      <c r="J194" s="133" t="s">
        <v>409</v>
      </c>
      <c r="K194" s="133" t="s">
        <v>410</v>
      </c>
    </row>
    <row r="195" spans="3:11" s="465" customFormat="1" x14ac:dyDescent="0.25">
      <c r="C195" s="220" t="s">
        <v>427</v>
      </c>
      <c r="D195" s="221">
        <f>0.5*10</f>
        <v>5</v>
      </c>
      <c r="E195" s="219">
        <f>HLOOKUP(C195,$AH$2:$BU$3,2,0)</f>
        <v>2000</v>
      </c>
      <c r="F195" s="97">
        <f t="shared" ref="F195" si="17">D195*E195</f>
        <v>10000</v>
      </c>
      <c r="G195" s="161" t="s">
        <v>128</v>
      </c>
      <c r="H195" s="142" t="s">
        <v>760</v>
      </c>
      <c r="I195" s="130" t="str">
        <f>VLOOKUP(H195,Presupuesto!$B$11:$C$565,2,0)</f>
        <v>VIATICOS NACIONALES</v>
      </c>
      <c r="J195" s="218" t="s">
        <v>1363</v>
      </c>
      <c r="K195" s="98" t="s">
        <v>394</v>
      </c>
    </row>
    <row r="196" spans="3:11" s="573" customFormat="1" x14ac:dyDescent="0.25">
      <c r="C196" s="574"/>
      <c r="D196" s="575"/>
      <c r="E196" s="562"/>
      <c r="F196" s="562"/>
      <c r="G196" s="561"/>
      <c r="H196" s="563"/>
      <c r="I196" s="562"/>
      <c r="J196" s="576"/>
      <c r="K196" s="563"/>
    </row>
    <row r="197" spans="3:11" ht="15.75" thickBot="1" x14ac:dyDescent="0.3"/>
    <row r="198" spans="3:11" ht="15.75" thickBot="1" x14ac:dyDescent="0.3">
      <c r="C198" s="157" t="s">
        <v>53</v>
      </c>
      <c r="D198" s="372">
        <f>SUM(F205:F227)</f>
        <v>40200</v>
      </c>
      <c r="F198" s="70"/>
      <c r="G198" s="79"/>
      <c r="H198" s="70"/>
      <c r="I198" s="70"/>
    </row>
    <row r="199" spans="3:11" x14ac:dyDescent="0.25">
      <c r="C199" s="70"/>
      <c r="D199" s="31"/>
      <c r="E199" s="93"/>
      <c r="F199" s="93"/>
      <c r="G199" s="93"/>
      <c r="H199" s="76"/>
      <c r="I199" s="76"/>
      <c r="J199" s="76"/>
      <c r="K199" s="112"/>
    </row>
    <row r="200" spans="3:11" x14ac:dyDescent="0.25">
      <c r="C200" s="70"/>
      <c r="D200" s="31"/>
      <c r="E200" s="93"/>
      <c r="F200" s="93"/>
      <c r="G200" s="93"/>
      <c r="H200" s="76"/>
      <c r="I200" s="76"/>
      <c r="J200" s="76"/>
      <c r="K200" s="112"/>
    </row>
    <row r="201" spans="3:11" ht="15.75" x14ac:dyDescent="0.25">
      <c r="C201" s="202" t="s">
        <v>391</v>
      </c>
      <c r="D201" s="368" t="s">
        <v>1976</v>
      </c>
      <c r="E201" s="93"/>
      <c r="F201" s="93"/>
      <c r="G201" s="93"/>
      <c r="H201" s="76"/>
      <c r="I201" s="76"/>
      <c r="J201" s="76"/>
      <c r="K201" s="112"/>
    </row>
    <row r="202" spans="3:11" ht="18.75" x14ac:dyDescent="0.25">
      <c r="C202" s="210" t="str">
        <f>IFERROR(VLOOKUP(D201,'1. Desarrollo e Innov. Curricu.'!$F:$G,2,FALSE),IFERROR(VLOOKUP(D201,'2. Investigación Científica'!$F:$G,2,FALSE),IFERROR(VLOOKUP(D201,'3. Vinculación Univ. Sociedad'!$F:$G,2,FALSE),IFERROR(VLOOKUP(D201,'4. Docencia y Profesorado Univ.'!$F:$G,2,FALSE),IFERROR(VLOOKUP(D201,'5. Estudiantes y Graduados'!$F:$G,2,FALSE),IFERROR(VLOOKUP(D201,'11. Gestion Administrativa'!$F:$G,2,FALSE),IFERROR(VLOOKUP(D201,'13. Gestión Académica'!$F:$G,2,FALSE),IFERROR(VLOOKUP(D201,'9. Asegura. de la Calid. y M'!$F:$G,2,FALSE),IFERROR(VLOOKUP(D201,'6. Gestión del Conocimiento'!$F:$G,2,FALSE),IFERROR(VLOOKUP(D201,'15. Gobernabilidad y Proceso...'!$F:$G,2,FALSE),IFERROR(VLOOKUP(D201,'12. Gestión del Talento Humano'!$F:$G,2,FALSE),IFERROR(VLOOKUP(D201,'14. Internacional... de la E.S.'!$F:$G,2,FALSE),IFERROR(VLOOKUP(D201,'10. Posgrado'!$F:$G,2,FALSE),IFERROR(VLOOKUP(D201,'17. Gestión TIC'!$F:$G,2,FALSE),IFERROR(VLOOKUP(D201,'16. Desa. del Sistema Educ.Sup.'!$F:$G,2,FALSE),IFERROR(VLOOKUP(D201,'8. Cultura de Inno. Insti...'!$F:$G,2,FALSE),VLOOKUP(D201,'7. Lo Esencial de la Reforma U.'!$F:$G,2,0)))))))))))))))))</f>
        <v>Dotación material de estudio (textos) Economo-Administrativo para la biblioteca</v>
      </c>
      <c r="D202" s="31"/>
      <c r="E202" s="93"/>
      <c r="F202" s="93"/>
      <c r="G202" s="93"/>
      <c r="H202" s="76"/>
      <c r="I202" s="76"/>
      <c r="J202" s="76"/>
      <c r="K202" s="112"/>
    </row>
    <row r="203" spans="3:11" ht="15.75" thickBot="1" x14ac:dyDescent="0.3">
      <c r="F203" s="93"/>
      <c r="G203" s="76"/>
      <c r="H203" s="76"/>
      <c r="I203" s="76"/>
    </row>
    <row r="204" spans="3:11" ht="30.75" thickBot="1" x14ac:dyDescent="0.3">
      <c r="C204" s="129" t="s">
        <v>44</v>
      </c>
      <c r="D204" s="129" t="s">
        <v>55</v>
      </c>
      <c r="E204" s="136" t="s">
        <v>57</v>
      </c>
      <c r="F204" s="135" t="s">
        <v>27</v>
      </c>
      <c r="G204" s="133" t="s">
        <v>130</v>
      </c>
      <c r="H204" s="136" t="s">
        <v>46</v>
      </c>
      <c r="I204" s="133" t="s">
        <v>131</v>
      </c>
      <c r="J204" s="133" t="s">
        <v>409</v>
      </c>
      <c r="K204" s="133" t="s">
        <v>410</v>
      </c>
    </row>
    <row r="205" spans="3:11" x14ac:dyDescent="0.25">
      <c r="C205" s="220" t="s">
        <v>438</v>
      </c>
      <c r="D205" s="221"/>
      <c r="E205" s="219">
        <f>HLOOKUP(C205,$AH$2:$BU$3,2,0)</f>
        <v>620</v>
      </c>
      <c r="F205" s="97">
        <f t="shared" ref="F205:F227" si="18">D205*E205</f>
        <v>0</v>
      </c>
      <c r="G205" s="161"/>
      <c r="H205" s="142"/>
      <c r="I205" s="130" t="e">
        <f>VLOOKUP(H205,Presupuesto!$B$11:$C$565,2,0)</f>
        <v>#N/A</v>
      </c>
      <c r="J205" s="218" t="s">
        <v>1363</v>
      </c>
      <c r="K205" s="98" t="s">
        <v>398</v>
      </c>
    </row>
    <row r="206" spans="3:11" x14ac:dyDescent="0.25">
      <c r="C206" s="143" t="s">
        <v>1981</v>
      </c>
      <c r="D206" s="158">
        <v>3</v>
      </c>
      <c r="E206" s="123">
        <v>600</v>
      </c>
      <c r="F206" s="97">
        <f t="shared" si="18"/>
        <v>1800</v>
      </c>
      <c r="G206" s="161" t="s">
        <v>1691</v>
      </c>
      <c r="H206" s="142" t="s">
        <v>824</v>
      </c>
      <c r="I206" s="130" t="str">
        <f>VLOOKUP(H206,Presupuesto!$B$11:$C$565,2,0)</f>
        <v>LIBROS REVISTAS Y PERIODICOS</v>
      </c>
      <c r="J206" s="98" t="str">
        <f>$J$205</f>
        <v>Gestión Administrativa y  financiera en apoyo al Desarrollo Académico</v>
      </c>
      <c r="K206" s="98" t="s">
        <v>398</v>
      </c>
    </row>
    <row r="207" spans="3:11" x14ac:dyDescent="0.25">
      <c r="C207" s="143" t="s">
        <v>1982</v>
      </c>
      <c r="D207" s="158">
        <v>3</v>
      </c>
      <c r="E207" s="123">
        <v>600</v>
      </c>
      <c r="F207" s="97">
        <f t="shared" si="18"/>
        <v>1800</v>
      </c>
      <c r="G207" s="161" t="s">
        <v>1691</v>
      </c>
      <c r="H207" s="142" t="s">
        <v>824</v>
      </c>
      <c r="I207" s="130" t="str">
        <f>VLOOKUP(H207,Presupuesto!$B$11:$C$565,2,0)</f>
        <v>LIBROS REVISTAS Y PERIODICOS</v>
      </c>
      <c r="J207" s="98" t="str">
        <f t="shared" ref="J207:J227" si="19">$J$205</f>
        <v>Gestión Administrativa y  financiera en apoyo al Desarrollo Académico</v>
      </c>
      <c r="K207" s="98" t="s">
        <v>398</v>
      </c>
    </row>
    <row r="208" spans="3:11" x14ac:dyDescent="0.25">
      <c r="C208" s="143" t="s">
        <v>1982</v>
      </c>
      <c r="D208" s="158">
        <v>3</v>
      </c>
      <c r="E208" s="123">
        <v>600</v>
      </c>
      <c r="F208" s="97">
        <f t="shared" si="18"/>
        <v>1800</v>
      </c>
      <c r="G208" s="161" t="s">
        <v>1691</v>
      </c>
      <c r="H208" s="142" t="s">
        <v>824</v>
      </c>
      <c r="I208" s="130" t="str">
        <f>VLOOKUP(H208,Presupuesto!$B$11:$C$565,2,0)</f>
        <v>LIBROS REVISTAS Y PERIODICOS</v>
      </c>
      <c r="J208" s="98" t="str">
        <f t="shared" si="19"/>
        <v>Gestión Administrativa y  financiera en apoyo al Desarrollo Académico</v>
      </c>
      <c r="K208" s="98" t="s">
        <v>398</v>
      </c>
    </row>
    <row r="209" spans="3:11" x14ac:dyDescent="0.25">
      <c r="C209" s="143" t="s">
        <v>1982</v>
      </c>
      <c r="D209" s="158">
        <v>3</v>
      </c>
      <c r="E209" s="123">
        <v>600</v>
      </c>
      <c r="F209" s="97">
        <f t="shared" si="18"/>
        <v>1800</v>
      </c>
      <c r="G209" s="161" t="s">
        <v>1691</v>
      </c>
      <c r="H209" s="142" t="s">
        <v>824</v>
      </c>
      <c r="I209" s="130" t="str">
        <f>VLOOKUP(H209,Presupuesto!$B$11:$C$565,2,0)</f>
        <v>LIBROS REVISTAS Y PERIODICOS</v>
      </c>
      <c r="J209" s="98" t="str">
        <f t="shared" si="19"/>
        <v>Gestión Administrativa y  financiera en apoyo al Desarrollo Académico</v>
      </c>
      <c r="K209" s="98" t="s">
        <v>398</v>
      </c>
    </row>
    <row r="210" spans="3:11" x14ac:dyDescent="0.25">
      <c r="C210" s="143" t="s">
        <v>1983</v>
      </c>
      <c r="D210" s="158">
        <v>3</v>
      </c>
      <c r="E210" s="123">
        <v>600</v>
      </c>
      <c r="F210" s="97">
        <f t="shared" si="18"/>
        <v>1800</v>
      </c>
      <c r="G210" s="161" t="s">
        <v>1691</v>
      </c>
      <c r="H210" s="142" t="s">
        <v>824</v>
      </c>
      <c r="I210" s="130" t="str">
        <f>VLOOKUP(H210,Presupuesto!$B$11:$C$565,2,0)</f>
        <v>LIBROS REVISTAS Y PERIODICOS</v>
      </c>
      <c r="J210" s="98" t="str">
        <f t="shared" si="19"/>
        <v>Gestión Administrativa y  financiera en apoyo al Desarrollo Académico</v>
      </c>
      <c r="K210" s="98" t="s">
        <v>398</v>
      </c>
    </row>
    <row r="211" spans="3:11" x14ac:dyDescent="0.25">
      <c r="C211" s="143" t="s">
        <v>1984</v>
      </c>
      <c r="D211" s="158">
        <v>3</v>
      </c>
      <c r="E211" s="123">
        <v>600</v>
      </c>
      <c r="F211" s="97">
        <f t="shared" si="18"/>
        <v>1800</v>
      </c>
      <c r="G211" s="161" t="s">
        <v>1691</v>
      </c>
      <c r="H211" s="142" t="s">
        <v>824</v>
      </c>
      <c r="I211" s="130" t="str">
        <f>VLOOKUP(H211,Presupuesto!$B$11:$C$565,2,0)</f>
        <v>LIBROS REVISTAS Y PERIODICOS</v>
      </c>
      <c r="J211" s="98" t="str">
        <f t="shared" si="19"/>
        <v>Gestión Administrativa y  financiera en apoyo al Desarrollo Académico</v>
      </c>
      <c r="K211" s="98" t="s">
        <v>398</v>
      </c>
    </row>
    <row r="212" spans="3:11" x14ac:dyDescent="0.25">
      <c r="C212" s="143" t="s">
        <v>1984</v>
      </c>
      <c r="D212" s="158">
        <v>3</v>
      </c>
      <c r="E212" s="123">
        <v>600</v>
      </c>
      <c r="F212" s="97">
        <f t="shared" si="18"/>
        <v>1800</v>
      </c>
      <c r="G212" s="161" t="s">
        <v>1691</v>
      </c>
      <c r="H212" s="142" t="s">
        <v>824</v>
      </c>
      <c r="I212" s="130" t="str">
        <f>VLOOKUP(H212,Presupuesto!$B$11:$C$565,2,0)</f>
        <v>LIBROS REVISTAS Y PERIODICOS</v>
      </c>
      <c r="J212" s="98" t="str">
        <f t="shared" si="19"/>
        <v>Gestión Administrativa y  financiera en apoyo al Desarrollo Académico</v>
      </c>
      <c r="K212" s="98" t="s">
        <v>398</v>
      </c>
    </row>
    <row r="213" spans="3:11" x14ac:dyDescent="0.25">
      <c r="C213" s="143" t="s">
        <v>1985</v>
      </c>
      <c r="D213" s="158">
        <v>3</v>
      </c>
      <c r="E213" s="123">
        <v>600</v>
      </c>
      <c r="F213" s="97">
        <f t="shared" si="18"/>
        <v>1800</v>
      </c>
      <c r="G213" s="161" t="s">
        <v>1691</v>
      </c>
      <c r="H213" s="142" t="s">
        <v>824</v>
      </c>
      <c r="I213" s="130" t="str">
        <f>VLOOKUP(H213,Presupuesto!$B$11:$C$565,2,0)</f>
        <v>LIBROS REVISTAS Y PERIODICOS</v>
      </c>
      <c r="J213" s="98" t="str">
        <f t="shared" si="19"/>
        <v>Gestión Administrativa y  financiera en apoyo al Desarrollo Académico</v>
      </c>
      <c r="K213" s="98" t="s">
        <v>398</v>
      </c>
    </row>
    <row r="214" spans="3:11" x14ac:dyDescent="0.25">
      <c r="C214" s="143" t="s">
        <v>1986</v>
      </c>
      <c r="D214" s="158">
        <v>3</v>
      </c>
      <c r="E214" s="123">
        <v>600</v>
      </c>
      <c r="F214" s="97">
        <f t="shared" si="18"/>
        <v>1800</v>
      </c>
      <c r="G214" s="161" t="s">
        <v>1691</v>
      </c>
      <c r="H214" s="142" t="s">
        <v>824</v>
      </c>
      <c r="I214" s="130" t="str">
        <f>VLOOKUP(H214,Presupuesto!$B$11:$C$565,2,0)</f>
        <v>LIBROS REVISTAS Y PERIODICOS</v>
      </c>
      <c r="J214" s="98" t="str">
        <f t="shared" si="19"/>
        <v>Gestión Administrativa y  financiera en apoyo al Desarrollo Académico</v>
      </c>
      <c r="K214" s="98" t="s">
        <v>398</v>
      </c>
    </row>
    <row r="215" spans="3:11" x14ac:dyDescent="0.25">
      <c r="C215" s="143" t="s">
        <v>1987</v>
      </c>
      <c r="D215" s="158">
        <v>3</v>
      </c>
      <c r="E215" s="123">
        <v>600</v>
      </c>
      <c r="F215" s="97">
        <f t="shared" si="18"/>
        <v>1800</v>
      </c>
      <c r="G215" s="161" t="s">
        <v>1691</v>
      </c>
      <c r="H215" s="142" t="s">
        <v>824</v>
      </c>
      <c r="I215" s="130" t="str">
        <f>VLOOKUP(H215,Presupuesto!$B$11:$C$565,2,0)</f>
        <v>LIBROS REVISTAS Y PERIODICOS</v>
      </c>
      <c r="J215" s="98" t="str">
        <f t="shared" si="19"/>
        <v>Gestión Administrativa y  financiera en apoyo al Desarrollo Académico</v>
      </c>
      <c r="K215" s="98" t="s">
        <v>398</v>
      </c>
    </row>
    <row r="216" spans="3:11" x14ac:dyDescent="0.25">
      <c r="C216" s="143" t="s">
        <v>1988</v>
      </c>
      <c r="D216" s="158">
        <v>3</v>
      </c>
      <c r="E216" s="123">
        <v>600</v>
      </c>
      <c r="F216" s="97">
        <f t="shared" si="18"/>
        <v>1800</v>
      </c>
      <c r="G216" s="161" t="s">
        <v>1691</v>
      </c>
      <c r="H216" s="142" t="s">
        <v>824</v>
      </c>
      <c r="I216" s="130" t="str">
        <f>VLOOKUP(H216,Presupuesto!$B$11:$C$565,2,0)</f>
        <v>LIBROS REVISTAS Y PERIODICOS</v>
      </c>
      <c r="J216" s="98" t="str">
        <f t="shared" si="19"/>
        <v>Gestión Administrativa y  financiera en apoyo al Desarrollo Académico</v>
      </c>
      <c r="K216" s="98" t="s">
        <v>398</v>
      </c>
    </row>
    <row r="217" spans="3:11" ht="30" x14ac:dyDescent="0.25">
      <c r="C217" s="592" t="s">
        <v>1989</v>
      </c>
      <c r="D217" s="158">
        <v>4</v>
      </c>
      <c r="E217" s="123">
        <v>600</v>
      </c>
      <c r="F217" s="97">
        <f t="shared" si="18"/>
        <v>2400</v>
      </c>
      <c r="G217" s="161" t="s">
        <v>1691</v>
      </c>
      <c r="H217" s="142" t="s">
        <v>824</v>
      </c>
      <c r="I217" s="130" t="str">
        <f>VLOOKUP(H217,Presupuesto!$B$11:$C$565,2,0)</f>
        <v>LIBROS REVISTAS Y PERIODICOS</v>
      </c>
      <c r="J217" s="98" t="str">
        <f t="shared" si="19"/>
        <v>Gestión Administrativa y  financiera en apoyo al Desarrollo Académico</v>
      </c>
      <c r="K217" s="98" t="s">
        <v>398</v>
      </c>
    </row>
    <row r="218" spans="3:11" ht="30" x14ac:dyDescent="0.25">
      <c r="C218" s="593" t="s">
        <v>1989</v>
      </c>
      <c r="D218" s="158">
        <v>3</v>
      </c>
      <c r="E218" s="123">
        <v>600</v>
      </c>
      <c r="F218" s="97">
        <f t="shared" si="18"/>
        <v>1800</v>
      </c>
      <c r="G218" s="161" t="s">
        <v>1691</v>
      </c>
      <c r="H218" s="142" t="s">
        <v>824</v>
      </c>
      <c r="I218" s="130" t="str">
        <f>VLOOKUP(H218,Presupuesto!$B$11:$C$565,2,0)</f>
        <v>LIBROS REVISTAS Y PERIODICOS</v>
      </c>
      <c r="J218" s="98" t="str">
        <f t="shared" si="19"/>
        <v>Gestión Administrativa y  financiera en apoyo al Desarrollo Académico</v>
      </c>
      <c r="K218" s="98" t="s">
        <v>398</v>
      </c>
    </row>
    <row r="219" spans="3:11" x14ac:dyDescent="0.25">
      <c r="C219" s="143" t="s">
        <v>1990</v>
      </c>
      <c r="D219" s="158">
        <v>3</v>
      </c>
      <c r="E219" s="123">
        <v>600</v>
      </c>
      <c r="F219" s="97">
        <f t="shared" si="18"/>
        <v>1800</v>
      </c>
      <c r="G219" s="161" t="s">
        <v>1691</v>
      </c>
      <c r="H219" s="142" t="s">
        <v>824</v>
      </c>
      <c r="I219" s="130" t="str">
        <f>VLOOKUP(H219,Presupuesto!$B$11:$C$565,2,0)</f>
        <v>LIBROS REVISTAS Y PERIODICOS</v>
      </c>
      <c r="J219" s="98" t="str">
        <f t="shared" si="19"/>
        <v>Gestión Administrativa y  financiera en apoyo al Desarrollo Académico</v>
      </c>
      <c r="K219" s="98" t="s">
        <v>398</v>
      </c>
    </row>
    <row r="220" spans="3:11" x14ac:dyDescent="0.25">
      <c r="C220" s="143" t="s">
        <v>1991</v>
      </c>
      <c r="D220" s="158">
        <v>3</v>
      </c>
      <c r="E220" s="123">
        <v>600</v>
      </c>
      <c r="F220" s="97">
        <f t="shared" si="18"/>
        <v>1800</v>
      </c>
      <c r="G220" s="161" t="s">
        <v>1691</v>
      </c>
      <c r="H220" s="142" t="s">
        <v>824</v>
      </c>
      <c r="I220" s="130" t="str">
        <f>VLOOKUP(H220,Presupuesto!$B$11:$C$565,2,0)</f>
        <v>LIBROS REVISTAS Y PERIODICOS</v>
      </c>
      <c r="J220" s="98" t="str">
        <f t="shared" si="19"/>
        <v>Gestión Administrativa y  financiera en apoyo al Desarrollo Académico</v>
      </c>
      <c r="K220" s="98" t="s">
        <v>398</v>
      </c>
    </row>
    <row r="221" spans="3:11" x14ac:dyDescent="0.25">
      <c r="C221" s="143" t="s">
        <v>1991</v>
      </c>
      <c r="D221" s="158">
        <v>3</v>
      </c>
      <c r="E221" s="123">
        <v>600</v>
      </c>
      <c r="F221" s="97">
        <f t="shared" si="18"/>
        <v>1800</v>
      </c>
      <c r="G221" s="161" t="s">
        <v>1691</v>
      </c>
      <c r="H221" s="142" t="s">
        <v>824</v>
      </c>
      <c r="I221" s="130" t="str">
        <f>VLOOKUP(H221,Presupuesto!$B$11:$C$565,2,0)</f>
        <v>LIBROS REVISTAS Y PERIODICOS</v>
      </c>
      <c r="J221" s="98" t="str">
        <f t="shared" si="19"/>
        <v>Gestión Administrativa y  financiera en apoyo al Desarrollo Académico</v>
      </c>
      <c r="K221" s="98" t="s">
        <v>398</v>
      </c>
    </row>
    <row r="222" spans="3:11" x14ac:dyDescent="0.25">
      <c r="C222" s="143" t="s">
        <v>1992</v>
      </c>
      <c r="D222" s="158">
        <v>3</v>
      </c>
      <c r="E222" s="123">
        <v>600</v>
      </c>
      <c r="F222" s="97">
        <f t="shared" si="18"/>
        <v>1800</v>
      </c>
      <c r="G222" s="161" t="s">
        <v>1691</v>
      </c>
      <c r="H222" s="142" t="s">
        <v>824</v>
      </c>
      <c r="I222" s="130" t="str">
        <f>VLOOKUP(H222,Presupuesto!$B$11:$C$565,2,0)</f>
        <v>LIBROS REVISTAS Y PERIODICOS</v>
      </c>
      <c r="J222" s="98" t="str">
        <f t="shared" si="19"/>
        <v>Gestión Administrativa y  financiera en apoyo al Desarrollo Académico</v>
      </c>
      <c r="K222" s="98" t="s">
        <v>398</v>
      </c>
    </row>
    <row r="223" spans="3:11" x14ac:dyDescent="0.25">
      <c r="C223" s="143" t="s">
        <v>1993</v>
      </c>
      <c r="D223" s="158">
        <v>3</v>
      </c>
      <c r="E223" s="123">
        <v>600</v>
      </c>
      <c r="F223" s="97">
        <f t="shared" si="18"/>
        <v>1800</v>
      </c>
      <c r="G223" s="161" t="s">
        <v>1691</v>
      </c>
      <c r="H223" s="142" t="s">
        <v>824</v>
      </c>
      <c r="I223" s="130" t="str">
        <f>VLOOKUP(H223,Presupuesto!$B$11:$C$565,2,0)</f>
        <v>LIBROS REVISTAS Y PERIODICOS</v>
      </c>
      <c r="J223" s="98" t="str">
        <f t="shared" si="19"/>
        <v>Gestión Administrativa y  financiera en apoyo al Desarrollo Académico</v>
      </c>
      <c r="K223" s="98" t="s">
        <v>398</v>
      </c>
    </row>
    <row r="224" spans="3:11" x14ac:dyDescent="0.25">
      <c r="C224" s="143" t="s">
        <v>1994</v>
      </c>
      <c r="D224" s="158">
        <v>3</v>
      </c>
      <c r="E224" s="123">
        <v>600</v>
      </c>
      <c r="F224" s="97">
        <f t="shared" si="18"/>
        <v>1800</v>
      </c>
      <c r="G224" s="161" t="s">
        <v>1691</v>
      </c>
      <c r="H224" s="142" t="s">
        <v>824</v>
      </c>
      <c r="I224" s="130" t="str">
        <f>VLOOKUP(H224,Presupuesto!$B$11:$C$565,2,0)</f>
        <v>LIBROS REVISTAS Y PERIODICOS</v>
      </c>
      <c r="J224" s="98" t="str">
        <f t="shared" si="19"/>
        <v>Gestión Administrativa y  financiera en apoyo al Desarrollo Académico</v>
      </c>
      <c r="K224" s="98" t="s">
        <v>398</v>
      </c>
    </row>
    <row r="225" spans="3:11" x14ac:dyDescent="0.25">
      <c r="C225" s="143" t="s">
        <v>1995</v>
      </c>
      <c r="D225" s="158">
        <v>3</v>
      </c>
      <c r="E225" s="123">
        <v>600</v>
      </c>
      <c r="F225" s="97">
        <f t="shared" si="18"/>
        <v>1800</v>
      </c>
      <c r="G225" s="161" t="s">
        <v>1691</v>
      </c>
      <c r="H225" s="142" t="s">
        <v>824</v>
      </c>
      <c r="I225" s="130" t="str">
        <f>VLOOKUP(H225,Presupuesto!$B$11:$C$565,2,0)</f>
        <v>LIBROS REVISTAS Y PERIODICOS</v>
      </c>
      <c r="J225" s="98" t="str">
        <f t="shared" si="19"/>
        <v>Gestión Administrativa y  financiera en apoyo al Desarrollo Académico</v>
      </c>
      <c r="K225" s="98" t="s">
        <v>398</v>
      </c>
    </row>
    <row r="226" spans="3:11" x14ac:dyDescent="0.25">
      <c r="C226" s="143" t="s">
        <v>1996</v>
      </c>
      <c r="D226" s="158">
        <v>3</v>
      </c>
      <c r="E226" s="123">
        <v>600</v>
      </c>
      <c r="F226" s="97">
        <f t="shared" si="18"/>
        <v>1800</v>
      </c>
      <c r="G226" s="161" t="s">
        <v>1691</v>
      </c>
      <c r="H226" s="142" t="s">
        <v>824</v>
      </c>
      <c r="I226" s="130" t="str">
        <f>VLOOKUP(H226,Presupuesto!$B$11:$C$565,2,0)</f>
        <v>LIBROS REVISTAS Y PERIODICOS</v>
      </c>
      <c r="J226" s="98" t="str">
        <f t="shared" si="19"/>
        <v>Gestión Administrativa y  financiera en apoyo al Desarrollo Académico</v>
      </c>
      <c r="K226" s="98" t="s">
        <v>398</v>
      </c>
    </row>
    <row r="227" spans="3:11" x14ac:dyDescent="0.25">
      <c r="C227" s="143" t="s">
        <v>1997</v>
      </c>
      <c r="D227" s="591">
        <v>3</v>
      </c>
      <c r="E227" s="118">
        <v>600</v>
      </c>
      <c r="F227" s="97">
        <f t="shared" si="18"/>
        <v>1800</v>
      </c>
      <c r="G227" s="161" t="s">
        <v>1691</v>
      </c>
      <c r="H227" s="142" t="s">
        <v>824</v>
      </c>
      <c r="I227" s="130" t="str">
        <f>VLOOKUP(H227,Presupuesto!$B$11:$C$565,2,0)</f>
        <v>LIBROS REVISTAS Y PERIODICOS</v>
      </c>
      <c r="J227" s="98" t="str">
        <f t="shared" si="19"/>
        <v>Gestión Administrativa y  financiera en apoyo al Desarrollo Académico</v>
      </c>
      <c r="K227" s="98" t="s">
        <v>398</v>
      </c>
    </row>
    <row r="229" spans="3:11" ht="15.75" thickBot="1" x14ac:dyDescent="0.3">
      <c r="F229" s="90"/>
      <c r="G229" s="89"/>
      <c r="H229" s="90"/>
      <c r="I229" s="90"/>
    </row>
    <row r="230" spans="3:11" ht="15.75" thickBot="1" x14ac:dyDescent="0.3">
      <c r="C230" s="157" t="s">
        <v>53</v>
      </c>
      <c r="D230" s="372">
        <f>SUM(F237:F238)</f>
        <v>6000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8" t="s">
        <v>2054</v>
      </c>
      <c r="E233" s="93"/>
      <c r="F233" s="93"/>
      <c r="G233" s="93"/>
      <c r="H233" s="76"/>
      <c r="I233" s="76"/>
      <c r="J233" s="76"/>
      <c r="K233" s="112"/>
    </row>
    <row r="234" spans="3:11" ht="18.75" x14ac:dyDescent="0.25">
      <c r="C234" s="210"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 xml:space="preserve">Gestión de equipo de oficina y material de laboratorio para el area de Ciencias Medicas 
</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38" si="20">D237*E237</f>
        <v>0</v>
      </c>
      <c r="G237" s="161"/>
      <c r="H237" s="142"/>
      <c r="I237" s="130" t="e">
        <f>VLOOKUP(H237,Presupuesto!$B$11:$C$565,2,0)</f>
        <v>#N/A</v>
      </c>
      <c r="J237" s="218" t="s">
        <v>1363</v>
      </c>
      <c r="K237" s="98" t="s">
        <v>393</v>
      </c>
    </row>
    <row r="238" spans="3:11" x14ac:dyDescent="0.25">
      <c r="C238" s="141" t="s">
        <v>2055</v>
      </c>
      <c r="D238" s="158">
        <v>1</v>
      </c>
      <c r="E238" s="123">
        <v>6000</v>
      </c>
      <c r="F238" s="97">
        <f t="shared" si="20"/>
        <v>6000</v>
      </c>
      <c r="G238" s="161" t="s">
        <v>128</v>
      </c>
      <c r="H238" s="142" t="s">
        <v>950</v>
      </c>
      <c r="I238" s="130" t="str">
        <f>VLOOKUP(H238,Presupuesto!$B$11:$C$565,2,0)</f>
        <v>INSTRUMENTOS MEDICOS QUIRURGICOS MENOR Y DE LABORATORIO</v>
      </c>
      <c r="J238" s="98" t="str">
        <f>$J$237</f>
        <v>Gestión Administrativa y  financiera en apoyo al Desarrollo Académico</v>
      </c>
      <c r="K238" s="98" t="s">
        <v>396</v>
      </c>
    </row>
    <row r="240" spans="3:11" ht="15.75" thickBot="1" x14ac:dyDescent="0.3"/>
    <row r="241" spans="3:11" ht="15.75" thickBot="1" x14ac:dyDescent="0.3">
      <c r="C241" s="157" t="s">
        <v>53</v>
      </c>
      <c r="D241" s="372">
        <f>SUM(F248:F286)</f>
        <v>462901.89999999979</v>
      </c>
      <c r="F241" s="70"/>
      <c r="G241" s="79"/>
      <c r="H241" s="70"/>
      <c r="I241" s="70"/>
    </row>
    <row r="242" spans="3:11" x14ac:dyDescent="0.25">
      <c r="C242" s="70"/>
      <c r="D242" s="31"/>
      <c r="E242" s="93"/>
      <c r="F242" s="93"/>
      <c r="G242" s="93"/>
      <c r="H242" s="76"/>
      <c r="I242" s="76"/>
      <c r="J242" s="76"/>
      <c r="K242" s="112"/>
    </row>
    <row r="243" spans="3:11" x14ac:dyDescent="0.25">
      <c r="C243" s="70"/>
      <c r="D243" s="31"/>
      <c r="E243" s="93"/>
      <c r="F243" s="93"/>
      <c r="G243" s="93"/>
      <c r="H243" s="76"/>
      <c r="I243" s="76"/>
      <c r="J243" s="76"/>
      <c r="K243" s="112"/>
    </row>
    <row r="244" spans="3:11" ht="15.75" x14ac:dyDescent="0.25">
      <c r="C244" s="202" t="s">
        <v>391</v>
      </c>
      <c r="D244" s="368" t="s">
        <v>2069</v>
      </c>
      <c r="E244" s="93"/>
      <c r="F244" s="93"/>
      <c r="G244" s="93"/>
      <c r="H244" s="76"/>
      <c r="I244" s="76"/>
      <c r="J244" s="76"/>
      <c r="K244" s="112"/>
    </row>
    <row r="245" spans="3:11" ht="18.75" x14ac:dyDescent="0.25">
      <c r="C245" s="795" t="str">
        <f>IFERROR(VLOOKUP(D244,'1. Desarrollo e Innov. Curricu.'!$F:$G,2,FALSE),IFERROR(VLOOKUP(D244,'2. Investigación Científica'!$F:$G,2,FALSE),IFERROR(VLOOKUP(D244,'3. Vinculación Univ. Sociedad'!$F:$G,2,FALSE),IFERROR(VLOOKUP(D244,'4. Docencia y Profesorado Univ.'!$F:$G,2,FALSE),IFERROR(VLOOKUP(D244,'5. Estudiantes y Graduados'!$F:$G,2,FALSE),IFERROR(VLOOKUP(D244,'11. Gestion Administrativa'!$F:$G,2,FALSE),IFERROR(VLOOKUP(D244,'13. Gestión Académica'!$F:$G,2,FALSE),IFERROR(VLOOKUP(D244,'9. Asegura. de la Calid. y M'!$F:$G,2,FALSE),IFERROR(VLOOKUP(D244,'6. Gestión del Conocimiento'!$F:$G,2,FALSE),IFERROR(VLOOKUP(D244,'15. Gobernabilidad y Proceso...'!$F:$G,2,FALSE),IFERROR(VLOOKUP(D244,'12. Gestión del Talento Humano'!$F:$G,2,FALSE),IFERROR(VLOOKUP(D244,'14. Internacional... de la E.S.'!$F:$G,2,FALSE),IFERROR(VLOOKUP(D244,'10. Posgrado'!$F:$G,2,FALSE),IFERROR(VLOOKUP(D244,'17. Gestión TIC'!$F:$G,2,FALSE),IFERROR(VLOOKUP(D244,'16. Desa. del Sistema Educ.Sup.'!$F:$G,2,FALSE),IFERROR(VLOOKUP(D244,'8. Cultura de Inno. Insti...'!$F:$G,2,FALSE),VLOOKUP(D244,'7. Lo Esencial de la Reforma U.'!$F:$G,2,0)))))))))))))))))</f>
        <v xml:space="preserve">Gestionar  en la carrera de enfermeria equipamiento de laboratorio </v>
      </c>
      <c r="D245" s="31"/>
      <c r="E245" s="93"/>
      <c r="F245" s="93"/>
      <c r="G245" s="93"/>
      <c r="H245" s="76"/>
      <c r="I245" s="76"/>
      <c r="J245" s="76"/>
      <c r="K245" s="112"/>
    </row>
    <row r="246" spans="3:11" ht="15.75" thickBot="1" x14ac:dyDescent="0.3">
      <c r="F246" s="93"/>
      <c r="G246" s="76"/>
      <c r="H246" s="76"/>
      <c r="I246" s="76"/>
    </row>
    <row r="247" spans="3:11" ht="30.75" thickBot="1" x14ac:dyDescent="0.3">
      <c r="C247" s="129" t="s">
        <v>44</v>
      </c>
      <c r="D247" s="129" t="s">
        <v>55</v>
      </c>
      <c r="E247" s="136" t="s">
        <v>57</v>
      </c>
      <c r="F247" s="135" t="s">
        <v>27</v>
      </c>
      <c r="G247" s="133" t="s">
        <v>130</v>
      </c>
      <c r="H247" s="136" t="s">
        <v>46</v>
      </c>
      <c r="I247" s="133" t="s">
        <v>131</v>
      </c>
      <c r="J247" s="133" t="s">
        <v>409</v>
      </c>
      <c r="K247" s="133" t="s">
        <v>410</v>
      </c>
    </row>
    <row r="248" spans="3:11" x14ac:dyDescent="0.25">
      <c r="C248" s="220" t="s">
        <v>438</v>
      </c>
      <c r="D248" s="221"/>
      <c r="E248" s="219">
        <f>HLOOKUP(C248,$AH$2:$BU$3,2,0)</f>
        <v>620</v>
      </c>
      <c r="F248" s="97">
        <f t="shared" ref="F248:F268" si="21">D248*E248</f>
        <v>0</v>
      </c>
      <c r="G248" s="161"/>
      <c r="H248" s="142"/>
      <c r="I248" s="130" t="e">
        <f>VLOOKUP(H248,Presupuesto!$B$11:$C$565,2,0)</f>
        <v>#N/A</v>
      </c>
      <c r="J248" s="218" t="s">
        <v>1363</v>
      </c>
      <c r="K248" s="98" t="s">
        <v>396</v>
      </c>
    </row>
    <row r="249" spans="3:11" x14ac:dyDescent="0.25">
      <c r="C249" s="567" t="s">
        <v>2073</v>
      </c>
      <c r="D249" s="607">
        <v>2</v>
      </c>
      <c r="E249" s="608">
        <v>13800</v>
      </c>
      <c r="F249" s="97">
        <f t="shared" si="21"/>
        <v>27600</v>
      </c>
      <c r="G249" s="161" t="s">
        <v>1691</v>
      </c>
      <c r="H249" s="142" t="s">
        <v>1002</v>
      </c>
      <c r="I249" s="130" t="str">
        <f>VLOOKUP(H249,Presupuesto!$B$11:$C$565,2,0)</f>
        <v>EQUIPO MEDICO Y LABORATORIO</v>
      </c>
      <c r="J249" s="98" t="str">
        <f>$J$248</f>
        <v>Gestión Administrativa y  financiera en apoyo al Desarrollo Académico</v>
      </c>
      <c r="K249" s="98" t="s">
        <v>396</v>
      </c>
    </row>
    <row r="250" spans="3:11" x14ac:dyDescent="0.25">
      <c r="C250" s="567" t="s">
        <v>2074</v>
      </c>
      <c r="D250" s="607">
        <v>2</v>
      </c>
      <c r="E250" s="608">
        <v>17250</v>
      </c>
      <c r="F250" s="97">
        <f t="shared" si="21"/>
        <v>34500</v>
      </c>
      <c r="G250" s="161" t="s">
        <v>1691</v>
      </c>
      <c r="H250" s="142" t="s">
        <v>1002</v>
      </c>
      <c r="I250" s="130" t="str">
        <f>VLOOKUP(H250,Presupuesto!$B$11:$C$565,2,0)</f>
        <v>EQUIPO MEDICO Y LABORATORIO</v>
      </c>
      <c r="J250" s="98" t="str">
        <f t="shared" ref="J250:J286" si="22">$J$248</f>
        <v>Gestión Administrativa y  financiera en apoyo al Desarrollo Académico</v>
      </c>
      <c r="K250" s="98" t="s">
        <v>396</v>
      </c>
    </row>
    <row r="251" spans="3:11" x14ac:dyDescent="0.25">
      <c r="C251" s="567" t="s">
        <v>2075</v>
      </c>
      <c r="D251" s="607">
        <v>2</v>
      </c>
      <c r="E251" s="608">
        <v>2300</v>
      </c>
      <c r="F251" s="97">
        <f t="shared" si="21"/>
        <v>4600</v>
      </c>
      <c r="G251" s="161" t="s">
        <v>1691</v>
      </c>
      <c r="H251" s="142" t="s">
        <v>1002</v>
      </c>
      <c r="I251" s="130" t="str">
        <f>VLOOKUP(H251,Presupuesto!$B$11:$C$565,2,0)</f>
        <v>EQUIPO MEDICO Y LABORATORIO</v>
      </c>
      <c r="J251" s="98" t="str">
        <f t="shared" si="22"/>
        <v>Gestión Administrativa y  financiera en apoyo al Desarrollo Académico</v>
      </c>
      <c r="K251" s="98" t="s">
        <v>396</v>
      </c>
    </row>
    <row r="252" spans="3:11" x14ac:dyDescent="0.25">
      <c r="C252" s="567" t="s">
        <v>2076</v>
      </c>
      <c r="D252" s="607">
        <v>2</v>
      </c>
      <c r="E252" s="608">
        <v>5175</v>
      </c>
      <c r="F252" s="97">
        <f t="shared" si="21"/>
        <v>10350</v>
      </c>
      <c r="G252" s="161" t="s">
        <v>1691</v>
      </c>
      <c r="H252" s="142" t="s">
        <v>1002</v>
      </c>
      <c r="I252" s="130" t="str">
        <f>VLOOKUP(H252,Presupuesto!$B$11:$C$565,2,0)</f>
        <v>EQUIPO MEDICO Y LABORATORIO</v>
      </c>
      <c r="J252" s="98" t="str">
        <f t="shared" si="22"/>
        <v>Gestión Administrativa y  financiera en apoyo al Desarrollo Académico</v>
      </c>
      <c r="K252" s="98" t="s">
        <v>396</v>
      </c>
    </row>
    <row r="253" spans="3:11" x14ac:dyDescent="0.25">
      <c r="C253" s="567" t="s">
        <v>2077</v>
      </c>
      <c r="D253" s="607">
        <v>2</v>
      </c>
      <c r="E253" s="608">
        <v>3450</v>
      </c>
      <c r="F253" s="97">
        <f t="shared" si="21"/>
        <v>6900</v>
      </c>
      <c r="G253" s="161" t="s">
        <v>1691</v>
      </c>
      <c r="H253" s="142" t="s">
        <v>1002</v>
      </c>
      <c r="I253" s="130" t="str">
        <f>VLOOKUP(H253,Presupuesto!$B$11:$C$565,2,0)</f>
        <v>EQUIPO MEDICO Y LABORATORIO</v>
      </c>
      <c r="J253" s="98" t="str">
        <f t="shared" si="22"/>
        <v>Gestión Administrativa y  financiera en apoyo al Desarrollo Académico</v>
      </c>
      <c r="K253" s="98" t="s">
        <v>396</v>
      </c>
    </row>
    <row r="254" spans="3:11" x14ac:dyDescent="0.25">
      <c r="C254" s="567" t="s">
        <v>2078</v>
      </c>
      <c r="D254" s="607">
        <v>2</v>
      </c>
      <c r="E254" s="608">
        <v>5750</v>
      </c>
      <c r="F254" s="97">
        <f t="shared" si="21"/>
        <v>11500</v>
      </c>
      <c r="G254" s="161" t="s">
        <v>1691</v>
      </c>
      <c r="H254" s="142" t="s">
        <v>1002</v>
      </c>
      <c r="I254" s="130" t="str">
        <f>VLOOKUP(H254,Presupuesto!$B$11:$C$565,2,0)</f>
        <v>EQUIPO MEDICO Y LABORATORIO</v>
      </c>
      <c r="J254" s="98" t="str">
        <f t="shared" si="22"/>
        <v>Gestión Administrativa y  financiera en apoyo al Desarrollo Académico</v>
      </c>
      <c r="K254" s="98" t="s">
        <v>396</v>
      </c>
    </row>
    <row r="255" spans="3:11" ht="30" x14ac:dyDescent="0.25">
      <c r="C255" s="567" t="s">
        <v>2079</v>
      </c>
      <c r="D255" s="607">
        <v>2</v>
      </c>
      <c r="E255" s="608">
        <v>1495</v>
      </c>
      <c r="F255" s="97">
        <f t="shared" si="21"/>
        <v>2990</v>
      </c>
      <c r="G255" s="161" t="s">
        <v>1691</v>
      </c>
      <c r="H255" s="142" t="s">
        <v>1002</v>
      </c>
      <c r="I255" s="130" t="str">
        <f>VLOOKUP(H255,Presupuesto!$B$11:$C$565,2,0)</f>
        <v>EQUIPO MEDICO Y LABORATORIO</v>
      </c>
      <c r="J255" s="98" t="str">
        <f t="shared" si="22"/>
        <v>Gestión Administrativa y  financiera en apoyo al Desarrollo Académico</v>
      </c>
      <c r="K255" s="98" t="s">
        <v>396</v>
      </c>
    </row>
    <row r="256" spans="3:11" x14ac:dyDescent="0.25">
      <c r="C256" s="567" t="s">
        <v>2080</v>
      </c>
      <c r="D256" s="607">
        <v>1</v>
      </c>
      <c r="E256" s="609">
        <v>28750</v>
      </c>
      <c r="F256" s="97">
        <f t="shared" si="21"/>
        <v>28750</v>
      </c>
      <c r="G256" s="161" t="s">
        <v>1691</v>
      </c>
      <c r="H256" s="142" t="s">
        <v>1002</v>
      </c>
      <c r="I256" s="130" t="str">
        <f>VLOOKUP(H256,Presupuesto!$B$11:$C$565,2,0)</f>
        <v>EQUIPO MEDICO Y LABORATORIO</v>
      </c>
      <c r="J256" s="98" t="str">
        <f t="shared" si="22"/>
        <v>Gestión Administrativa y  financiera en apoyo al Desarrollo Académico</v>
      </c>
      <c r="K256" s="98" t="s">
        <v>396</v>
      </c>
    </row>
    <row r="257" spans="3:11" x14ac:dyDescent="0.25">
      <c r="C257" s="567" t="s">
        <v>2081</v>
      </c>
      <c r="D257" s="607">
        <v>1</v>
      </c>
      <c r="E257" s="608">
        <v>17250</v>
      </c>
      <c r="F257" s="97">
        <f t="shared" si="21"/>
        <v>17250</v>
      </c>
      <c r="G257" s="161" t="s">
        <v>1691</v>
      </c>
      <c r="H257" s="142" t="s">
        <v>1002</v>
      </c>
      <c r="I257" s="130" t="str">
        <f>VLOOKUP(H257,Presupuesto!$B$11:$C$565,2,0)</f>
        <v>EQUIPO MEDICO Y LABORATORIO</v>
      </c>
      <c r="J257" s="98" t="str">
        <f t="shared" si="22"/>
        <v>Gestión Administrativa y  financiera en apoyo al Desarrollo Académico</v>
      </c>
      <c r="K257" s="98" t="s">
        <v>396</v>
      </c>
    </row>
    <row r="258" spans="3:11" ht="30" x14ac:dyDescent="0.25">
      <c r="C258" s="567" t="s">
        <v>2082</v>
      </c>
      <c r="D258" s="607">
        <v>2</v>
      </c>
      <c r="E258" s="608">
        <v>4600</v>
      </c>
      <c r="F258" s="97">
        <f t="shared" si="21"/>
        <v>9200</v>
      </c>
      <c r="G258" s="161" t="s">
        <v>1691</v>
      </c>
      <c r="H258" s="142" t="s">
        <v>1002</v>
      </c>
      <c r="I258" s="130" t="str">
        <f>VLOOKUP(H258,Presupuesto!$B$11:$C$565,2,0)</f>
        <v>EQUIPO MEDICO Y LABORATORIO</v>
      </c>
      <c r="J258" s="98" t="str">
        <f t="shared" si="22"/>
        <v>Gestión Administrativa y  financiera en apoyo al Desarrollo Académico</v>
      </c>
      <c r="K258" s="98" t="s">
        <v>396</v>
      </c>
    </row>
    <row r="259" spans="3:11" ht="30" x14ac:dyDescent="0.25">
      <c r="C259" s="567" t="s">
        <v>2083</v>
      </c>
      <c r="D259" s="607">
        <v>2</v>
      </c>
      <c r="E259" s="608">
        <v>5750</v>
      </c>
      <c r="F259" s="97">
        <f t="shared" si="21"/>
        <v>11500</v>
      </c>
      <c r="G259" s="161" t="s">
        <v>1691</v>
      </c>
      <c r="H259" s="142" t="s">
        <v>1002</v>
      </c>
      <c r="I259" s="130" t="str">
        <f>VLOOKUP(H259,Presupuesto!$B$11:$C$565,2,0)</f>
        <v>EQUIPO MEDICO Y LABORATORIO</v>
      </c>
      <c r="J259" s="98" t="str">
        <f t="shared" si="22"/>
        <v>Gestión Administrativa y  financiera en apoyo al Desarrollo Académico</v>
      </c>
      <c r="K259" s="98" t="s">
        <v>396</v>
      </c>
    </row>
    <row r="260" spans="3:11" x14ac:dyDescent="0.25">
      <c r="C260" s="567" t="s">
        <v>2084</v>
      </c>
      <c r="D260" s="610">
        <v>2</v>
      </c>
      <c r="E260" s="611">
        <v>28750</v>
      </c>
      <c r="F260" s="97">
        <f t="shared" si="21"/>
        <v>57500</v>
      </c>
      <c r="G260" s="161" t="s">
        <v>1691</v>
      </c>
      <c r="H260" s="142" t="s">
        <v>1002</v>
      </c>
      <c r="I260" s="130" t="str">
        <f>VLOOKUP(H260,Presupuesto!$B$11:$C$565,2,0)</f>
        <v>EQUIPO MEDICO Y LABORATORIO</v>
      </c>
      <c r="J260" s="98" t="str">
        <f t="shared" si="22"/>
        <v>Gestión Administrativa y  financiera en apoyo al Desarrollo Académico</v>
      </c>
      <c r="K260" s="98" t="s">
        <v>396</v>
      </c>
    </row>
    <row r="261" spans="3:11" ht="30" x14ac:dyDescent="0.25">
      <c r="C261" s="567" t="s">
        <v>2085</v>
      </c>
      <c r="D261" s="608">
        <v>1</v>
      </c>
      <c r="E261" s="608">
        <v>17045</v>
      </c>
      <c r="F261" s="97">
        <f t="shared" si="21"/>
        <v>17045</v>
      </c>
      <c r="G261" s="161" t="s">
        <v>1691</v>
      </c>
      <c r="H261" s="142" t="s">
        <v>1002</v>
      </c>
      <c r="I261" s="130" t="str">
        <f>VLOOKUP(H261,Presupuesto!$B$11:$C$565,2,0)</f>
        <v>EQUIPO MEDICO Y LABORATORIO</v>
      </c>
      <c r="J261" s="98" t="str">
        <f t="shared" si="22"/>
        <v>Gestión Administrativa y  financiera en apoyo al Desarrollo Académico</v>
      </c>
      <c r="K261" s="98" t="s">
        <v>396</v>
      </c>
    </row>
    <row r="262" spans="3:11" x14ac:dyDescent="0.25">
      <c r="C262" s="567" t="s">
        <v>2086</v>
      </c>
      <c r="D262" s="607">
        <v>2</v>
      </c>
      <c r="E262" s="608">
        <v>4344</v>
      </c>
      <c r="F262" s="97">
        <f t="shared" si="21"/>
        <v>8688</v>
      </c>
      <c r="G262" s="161" t="s">
        <v>1691</v>
      </c>
      <c r="H262" s="142" t="s">
        <v>1002</v>
      </c>
      <c r="I262" s="130" t="str">
        <f>VLOOKUP(H262,Presupuesto!$B$11:$C$565,2,0)</f>
        <v>EQUIPO MEDICO Y LABORATORIO</v>
      </c>
      <c r="J262" s="98" t="str">
        <f t="shared" si="22"/>
        <v>Gestión Administrativa y  financiera en apoyo al Desarrollo Académico</v>
      </c>
      <c r="K262" s="98" t="s">
        <v>396</v>
      </c>
    </row>
    <row r="263" spans="3:11" x14ac:dyDescent="0.25">
      <c r="C263" s="567" t="s">
        <v>2087</v>
      </c>
      <c r="D263" s="607">
        <v>2</v>
      </c>
      <c r="E263" s="608">
        <v>1635.3</v>
      </c>
      <c r="F263" s="97">
        <f t="shared" si="21"/>
        <v>3270.6</v>
      </c>
      <c r="G263" s="161" t="s">
        <v>1691</v>
      </c>
      <c r="H263" s="142" t="s">
        <v>1002</v>
      </c>
      <c r="I263" s="130" t="str">
        <f>VLOOKUP(H263,Presupuesto!$B$11:$C$565,2,0)</f>
        <v>EQUIPO MEDICO Y LABORATORIO</v>
      </c>
      <c r="J263" s="98" t="str">
        <f t="shared" si="22"/>
        <v>Gestión Administrativa y  financiera en apoyo al Desarrollo Académico</v>
      </c>
      <c r="K263" s="98" t="s">
        <v>396</v>
      </c>
    </row>
    <row r="264" spans="3:11" x14ac:dyDescent="0.25">
      <c r="C264" s="567" t="s">
        <v>2088</v>
      </c>
      <c r="D264" s="607">
        <v>1</v>
      </c>
      <c r="E264" s="608">
        <v>1635.3</v>
      </c>
      <c r="F264" s="97">
        <f t="shared" si="21"/>
        <v>1635.3</v>
      </c>
      <c r="G264" s="161" t="s">
        <v>1691</v>
      </c>
      <c r="H264" s="142" t="s">
        <v>1002</v>
      </c>
      <c r="I264" s="130" t="str">
        <f>VLOOKUP(H264,Presupuesto!$B$11:$C$565,2,0)</f>
        <v>EQUIPO MEDICO Y LABORATORIO</v>
      </c>
      <c r="J264" s="98" t="str">
        <f t="shared" si="22"/>
        <v>Gestión Administrativa y  financiera en apoyo al Desarrollo Académico</v>
      </c>
      <c r="K264" s="98" t="s">
        <v>396</v>
      </c>
    </row>
    <row r="265" spans="3:11" ht="30" x14ac:dyDescent="0.25">
      <c r="C265" s="567" t="s">
        <v>2089</v>
      </c>
      <c r="D265" s="607">
        <v>1</v>
      </c>
      <c r="E265" s="608">
        <v>7493.4</v>
      </c>
      <c r="F265" s="97">
        <f t="shared" si="21"/>
        <v>7493.4</v>
      </c>
      <c r="G265" s="161" t="s">
        <v>1691</v>
      </c>
      <c r="H265" s="142" t="s">
        <v>1002</v>
      </c>
      <c r="I265" s="130" t="str">
        <f>VLOOKUP(H265,Presupuesto!$B$11:$C$565,2,0)</f>
        <v>EQUIPO MEDICO Y LABORATORIO</v>
      </c>
      <c r="J265" s="98" t="str">
        <f t="shared" si="22"/>
        <v>Gestión Administrativa y  financiera en apoyo al Desarrollo Académico</v>
      </c>
      <c r="K265" s="98" t="s">
        <v>396</v>
      </c>
    </row>
    <row r="266" spans="3:11" x14ac:dyDescent="0.25">
      <c r="C266" s="567" t="s">
        <v>2090</v>
      </c>
      <c r="D266" s="607">
        <v>1</v>
      </c>
      <c r="E266" s="608">
        <v>1833.1</v>
      </c>
      <c r="F266" s="97">
        <f t="shared" si="21"/>
        <v>1833.1</v>
      </c>
      <c r="G266" s="161" t="s">
        <v>1691</v>
      </c>
      <c r="H266" s="142" t="s">
        <v>1002</v>
      </c>
      <c r="I266" s="130" t="str">
        <f>VLOOKUP(H266,Presupuesto!$B$11:$C$565,2,0)</f>
        <v>EQUIPO MEDICO Y LABORATORIO</v>
      </c>
      <c r="J266" s="98" t="str">
        <f t="shared" si="22"/>
        <v>Gestión Administrativa y  financiera en apoyo al Desarrollo Académico</v>
      </c>
      <c r="K266" s="98" t="s">
        <v>396</v>
      </c>
    </row>
    <row r="267" spans="3:11" ht="30" x14ac:dyDescent="0.25">
      <c r="C267" s="567" t="s">
        <v>2091</v>
      </c>
      <c r="D267" s="607">
        <v>3</v>
      </c>
      <c r="E267" s="607">
        <v>129.94999999999999</v>
      </c>
      <c r="F267" s="97">
        <f t="shared" si="21"/>
        <v>389.84999999999997</v>
      </c>
      <c r="G267" s="161" t="s">
        <v>1691</v>
      </c>
      <c r="H267" s="142" t="s">
        <v>1002</v>
      </c>
      <c r="I267" s="130" t="str">
        <f>VLOOKUP(H267,Presupuesto!$B$11:$C$565,2,0)</f>
        <v>EQUIPO MEDICO Y LABORATORIO</v>
      </c>
      <c r="J267" s="98" t="str">
        <f t="shared" si="22"/>
        <v>Gestión Administrativa y  financiera en apoyo al Desarrollo Académico</v>
      </c>
      <c r="K267" s="98" t="s">
        <v>396</v>
      </c>
    </row>
    <row r="268" spans="3:11" x14ac:dyDescent="0.25">
      <c r="C268" s="567" t="s">
        <v>2092</v>
      </c>
      <c r="D268" s="607">
        <v>1</v>
      </c>
      <c r="E268" s="608">
        <v>2497.8000000000002</v>
      </c>
      <c r="F268" s="97">
        <f t="shared" si="21"/>
        <v>2497.8000000000002</v>
      </c>
      <c r="G268" s="161" t="s">
        <v>1691</v>
      </c>
      <c r="H268" s="142" t="s">
        <v>1002</v>
      </c>
      <c r="I268" s="130" t="str">
        <f>VLOOKUP(H268,Presupuesto!$B$11:$C$565,2,0)</f>
        <v>EQUIPO MEDICO Y LABORATORIO</v>
      </c>
      <c r="J268" s="98" t="str">
        <f t="shared" si="22"/>
        <v>Gestión Administrativa y  financiera en apoyo al Desarrollo Académico</v>
      </c>
      <c r="K268" s="98" t="s">
        <v>396</v>
      </c>
    </row>
    <row r="269" spans="3:11" s="465" customFormat="1" x14ac:dyDescent="0.25">
      <c r="C269" s="567" t="s">
        <v>2093</v>
      </c>
      <c r="D269" s="607">
        <v>3</v>
      </c>
      <c r="E269" s="607">
        <v>230</v>
      </c>
      <c r="F269" s="97">
        <f t="shared" ref="F269:F286" si="23">D269*E269</f>
        <v>690</v>
      </c>
      <c r="G269" s="161" t="s">
        <v>1691</v>
      </c>
      <c r="H269" s="142" t="s">
        <v>1002</v>
      </c>
      <c r="I269" s="130" t="str">
        <f>VLOOKUP(H269,Presupuesto!$B$11:$C$565,2,0)</f>
        <v>EQUIPO MEDICO Y LABORATORIO</v>
      </c>
      <c r="J269" s="98" t="str">
        <f t="shared" si="22"/>
        <v>Gestión Administrativa y  financiera en apoyo al Desarrollo Académico</v>
      </c>
      <c r="K269" s="98" t="s">
        <v>396</v>
      </c>
    </row>
    <row r="270" spans="3:11" s="465" customFormat="1" x14ac:dyDescent="0.25">
      <c r="C270" s="567" t="s">
        <v>2094</v>
      </c>
      <c r="D270" s="607">
        <v>3</v>
      </c>
      <c r="E270" s="607">
        <v>548.54999999999995</v>
      </c>
      <c r="F270" s="97">
        <f t="shared" si="23"/>
        <v>1645.6499999999999</v>
      </c>
      <c r="G270" s="161" t="s">
        <v>1691</v>
      </c>
      <c r="H270" s="142" t="s">
        <v>1002</v>
      </c>
      <c r="I270" s="130" t="str">
        <f>VLOOKUP(H270,Presupuesto!$B$11:$C$565,2,0)</f>
        <v>EQUIPO MEDICO Y LABORATORIO</v>
      </c>
      <c r="J270" s="98" t="str">
        <f t="shared" si="22"/>
        <v>Gestión Administrativa y  financiera en apoyo al Desarrollo Académico</v>
      </c>
      <c r="K270" s="98" t="s">
        <v>396</v>
      </c>
    </row>
    <row r="271" spans="3:11" s="465" customFormat="1" x14ac:dyDescent="0.25">
      <c r="C271" s="567" t="s">
        <v>2095</v>
      </c>
      <c r="D271" s="607">
        <v>2</v>
      </c>
      <c r="E271" s="612">
        <v>25198.3</v>
      </c>
      <c r="F271" s="97">
        <f t="shared" si="23"/>
        <v>50396.6</v>
      </c>
      <c r="G271" s="161" t="s">
        <v>1691</v>
      </c>
      <c r="H271" s="142" t="s">
        <v>1002</v>
      </c>
      <c r="I271" s="130" t="str">
        <f>VLOOKUP(H271,Presupuesto!$B$11:$C$565,2,0)</f>
        <v>EQUIPO MEDICO Y LABORATORIO</v>
      </c>
      <c r="J271" s="98" t="str">
        <f t="shared" si="22"/>
        <v>Gestión Administrativa y  financiera en apoyo al Desarrollo Académico</v>
      </c>
      <c r="K271" s="98" t="s">
        <v>396</v>
      </c>
    </row>
    <row r="272" spans="3:11" s="465" customFormat="1" x14ac:dyDescent="0.25">
      <c r="C272" s="567" t="s">
        <v>2096</v>
      </c>
      <c r="D272" s="607">
        <v>1</v>
      </c>
      <c r="E272" s="608">
        <v>17204</v>
      </c>
      <c r="F272" s="97">
        <f t="shared" si="23"/>
        <v>17204</v>
      </c>
      <c r="G272" s="161" t="s">
        <v>1691</v>
      </c>
      <c r="H272" s="142" t="s">
        <v>1002</v>
      </c>
      <c r="I272" s="130" t="str">
        <f>VLOOKUP(H272,Presupuesto!$B$11:$C$565,2,0)</f>
        <v>EQUIPO MEDICO Y LABORATORIO</v>
      </c>
      <c r="J272" s="98" t="str">
        <f t="shared" si="22"/>
        <v>Gestión Administrativa y  financiera en apoyo al Desarrollo Académico</v>
      </c>
      <c r="K272" s="98" t="s">
        <v>396</v>
      </c>
    </row>
    <row r="273" spans="3:11" s="465" customFormat="1" x14ac:dyDescent="0.25">
      <c r="C273" s="567" t="s">
        <v>2097</v>
      </c>
      <c r="D273" s="613">
        <v>9</v>
      </c>
      <c r="E273" s="613">
        <v>1500</v>
      </c>
      <c r="F273" s="97">
        <f t="shared" si="23"/>
        <v>13500</v>
      </c>
      <c r="G273" s="161" t="s">
        <v>1691</v>
      </c>
      <c r="H273" s="142" t="s">
        <v>1002</v>
      </c>
      <c r="I273" s="130" t="str">
        <f>VLOOKUP(H273,Presupuesto!$B$11:$C$565,2,0)</f>
        <v>EQUIPO MEDICO Y LABORATORIO</v>
      </c>
      <c r="J273" s="98" t="str">
        <f t="shared" si="22"/>
        <v>Gestión Administrativa y  financiera en apoyo al Desarrollo Académico</v>
      </c>
      <c r="K273" s="98" t="s">
        <v>396</v>
      </c>
    </row>
    <row r="274" spans="3:11" s="465" customFormat="1" x14ac:dyDescent="0.25">
      <c r="C274" s="567" t="s">
        <v>2098</v>
      </c>
      <c r="D274" s="613">
        <v>3</v>
      </c>
      <c r="E274" s="613">
        <v>1500</v>
      </c>
      <c r="F274" s="97">
        <f t="shared" si="23"/>
        <v>4500</v>
      </c>
      <c r="G274" s="161" t="s">
        <v>1691</v>
      </c>
      <c r="H274" s="142" t="s">
        <v>1002</v>
      </c>
      <c r="I274" s="130" t="str">
        <f>VLOOKUP(H274,Presupuesto!$B$11:$C$565,2,0)</f>
        <v>EQUIPO MEDICO Y LABORATORIO</v>
      </c>
      <c r="J274" s="98" t="str">
        <f t="shared" si="22"/>
        <v>Gestión Administrativa y  financiera en apoyo al Desarrollo Académico</v>
      </c>
      <c r="K274" s="98" t="s">
        <v>396</v>
      </c>
    </row>
    <row r="275" spans="3:11" s="465" customFormat="1" x14ac:dyDescent="0.25">
      <c r="C275" s="567" t="s">
        <v>2099</v>
      </c>
      <c r="D275" s="607">
        <v>2</v>
      </c>
      <c r="E275" s="608">
        <v>2142.15</v>
      </c>
      <c r="F275" s="97">
        <f t="shared" si="23"/>
        <v>4284.3</v>
      </c>
      <c r="G275" s="161" t="s">
        <v>1691</v>
      </c>
      <c r="H275" s="142" t="s">
        <v>1002</v>
      </c>
      <c r="I275" s="130" t="str">
        <f>VLOOKUP(H275,Presupuesto!$B$11:$C$565,2,0)</f>
        <v>EQUIPO MEDICO Y LABORATORIO</v>
      </c>
      <c r="J275" s="98" t="str">
        <f t="shared" si="22"/>
        <v>Gestión Administrativa y  financiera en apoyo al Desarrollo Académico</v>
      </c>
      <c r="K275" s="98" t="s">
        <v>396</v>
      </c>
    </row>
    <row r="276" spans="3:11" s="465" customFormat="1" x14ac:dyDescent="0.25">
      <c r="C276" s="567" t="s">
        <v>2100</v>
      </c>
      <c r="D276" s="607">
        <v>3</v>
      </c>
      <c r="E276" s="607">
        <v>214.29</v>
      </c>
      <c r="F276" s="97">
        <f t="shared" si="23"/>
        <v>642.87</v>
      </c>
      <c r="G276" s="161" t="s">
        <v>1691</v>
      </c>
      <c r="H276" s="142" t="s">
        <v>1002</v>
      </c>
      <c r="I276" s="130" t="str">
        <f>VLOOKUP(H276,Presupuesto!$B$11:$C$565,2,0)</f>
        <v>EQUIPO MEDICO Y LABORATORIO</v>
      </c>
      <c r="J276" s="98" t="str">
        <f t="shared" si="22"/>
        <v>Gestión Administrativa y  financiera en apoyo al Desarrollo Académico</v>
      </c>
      <c r="K276" s="98" t="s">
        <v>396</v>
      </c>
    </row>
    <row r="277" spans="3:11" s="465" customFormat="1" x14ac:dyDescent="0.25">
      <c r="C277" s="567" t="s">
        <v>2101</v>
      </c>
      <c r="D277" s="607">
        <v>1</v>
      </c>
      <c r="E277" s="607">
        <v>536.1</v>
      </c>
      <c r="F277" s="97">
        <f t="shared" si="23"/>
        <v>536.1</v>
      </c>
      <c r="G277" s="161" t="s">
        <v>1691</v>
      </c>
      <c r="H277" s="142" t="s">
        <v>1002</v>
      </c>
      <c r="I277" s="130" t="str">
        <f>VLOOKUP(H277,Presupuesto!$B$11:$C$565,2,0)</f>
        <v>EQUIPO MEDICO Y LABORATORIO</v>
      </c>
      <c r="J277" s="98" t="str">
        <f t="shared" si="22"/>
        <v>Gestión Administrativa y  financiera en apoyo al Desarrollo Académico</v>
      </c>
      <c r="K277" s="98" t="s">
        <v>396</v>
      </c>
    </row>
    <row r="278" spans="3:11" s="465" customFormat="1" x14ac:dyDescent="0.25">
      <c r="C278" s="567" t="s">
        <v>2102</v>
      </c>
      <c r="D278" s="607">
        <v>1</v>
      </c>
      <c r="E278" s="607">
        <v>536.1</v>
      </c>
      <c r="F278" s="97">
        <f t="shared" si="23"/>
        <v>536.1</v>
      </c>
      <c r="G278" s="161" t="s">
        <v>1691</v>
      </c>
      <c r="H278" s="142" t="s">
        <v>1002</v>
      </c>
      <c r="I278" s="130" t="str">
        <f>VLOOKUP(H278,Presupuesto!$B$11:$C$565,2,0)</f>
        <v>EQUIPO MEDICO Y LABORATORIO</v>
      </c>
      <c r="J278" s="98" t="str">
        <f t="shared" si="22"/>
        <v>Gestión Administrativa y  financiera en apoyo al Desarrollo Académico</v>
      </c>
      <c r="K278" s="98" t="s">
        <v>396</v>
      </c>
    </row>
    <row r="279" spans="3:11" s="465" customFormat="1" x14ac:dyDescent="0.25">
      <c r="C279" s="567" t="s">
        <v>2103</v>
      </c>
      <c r="D279" s="607">
        <v>1</v>
      </c>
      <c r="E279" s="607">
        <v>536.1</v>
      </c>
      <c r="F279" s="97">
        <f t="shared" si="23"/>
        <v>536.1</v>
      </c>
      <c r="G279" s="161" t="s">
        <v>1691</v>
      </c>
      <c r="H279" s="142" t="s">
        <v>1002</v>
      </c>
      <c r="I279" s="130" t="str">
        <f>VLOOKUP(H279,Presupuesto!$B$11:$C$565,2,0)</f>
        <v>EQUIPO MEDICO Y LABORATORIO</v>
      </c>
      <c r="J279" s="98" t="str">
        <f t="shared" si="22"/>
        <v>Gestión Administrativa y  financiera en apoyo al Desarrollo Académico</v>
      </c>
      <c r="K279" s="98" t="s">
        <v>396</v>
      </c>
    </row>
    <row r="280" spans="3:11" s="465" customFormat="1" x14ac:dyDescent="0.25">
      <c r="C280" s="567" t="s">
        <v>2104</v>
      </c>
      <c r="D280" s="607">
        <v>1</v>
      </c>
      <c r="E280" s="607">
        <v>536.1</v>
      </c>
      <c r="F280" s="97">
        <f t="shared" si="23"/>
        <v>536.1</v>
      </c>
      <c r="G280" s="161" t="s">
        <v>1691</v>
      </c>
      <c r="H280" s="142" t="s">
        <v>1002</v>
      </c>
      <c r="I280" s="130" t="str">
        <f>VLOOKUP(H280,Presupuesto!$B$11:$C$565,2,0)</f>
        <v>EQUIPO MEDICO Y LABORATORIO</v>
      </c>
      <c r="J280" s="98" t="str">
        <f t="shared" si="22"/>
        <v>Gestión Administrativa y  financiera en apoyo al Desarrollo Académico</v>
      </c>
      <c r="K280" s="98" t="s">
        <v>396</v>
      </c>
    </row>
    <row r="281" spans="3:11" s="465" customFormat="1" x14ac:dyDescent="0.25">
      <c r="C281" s="567" t="s">
        <v>2105</v>
      </c>
      <c r="D281" s="607">
        <v>1</v>
      </c>
      <c r="E281" s="607">
        <v>536.1</v>
      </c>
      <c r="F281" s="97">
        <f t="shared" si="23"/>
        <v>536.1</v>
      </c>
      <c r="G281" s="161" t="s">
        <v>1691</v>
      </c>
      <c r="H281" s="142" t="s">
        <v>1002</v>
      </c>
      <c r="I281" s="130" t="str">
        <f>VLOOKUP(H281,Presupuesto!$B$11:$C$565,2,0)</f>
        <v>EQUIPO MEDICO Y LABORATORIO</v>
      </c>
      <c r="J281" s="98" t="str">
        <f t="shared" si="22"/>
        <v>Gestión Administrativa y  financiera en apoyo al Desarrollo Académico</v>
      </c>
      <c r="K281" s="98" t="s">
        <v>396</v>
      </c>
    </row>
    <row r="282" spans="3:11" s="465" customFormat="1" ht="30" x14ac:dyDescent="0.25">
      <c r="C282" s="567" t="s">
        <v>2106</v>
      </c>
      <c r="D282" s="607">
        <v>1</v>
      </c>
      <c r="E282" s="607">
        <v>536.1</v>
      </c>
      <c r="F282" s="97">
        <f t="shared" si="23"/>
        <v>536.1</v>
      </c>
      <c r="G282" s="161" t="s">
        <v>1691</v>
      </c>
      <c r="H282" s="142" t="s">
        <v>1002</v>
      </c>
      <c r="I282" s="130" t="str">
        <f>VLOOKUP(H282,Presupuesto!$B$11:$C$565,2,0)</f>
        <v>EQUIPO MEDICO Y LABORATORIO</v>
      </c>
      <c r="J282" s="98" t="str">
        <f t="shared" si="22"/>
        <v>Gestión Administrativa y  financiera en apoyo al Desarrollo Académico</v>
      </c>
      <c r="K282" s="98" t="s">
        <v>396</v>
      </c>
    </row>
    <row r="283" spans="3:11" s="465" customFormat="1" x14ac:dyDescent="0.25">
      <c r="C283" s="567" t="s">
        <v>2107</v>
      </c>
      <c r="D283" s="607">
        <v>1</v>
      </c>
      <c r="E283" s="607">
        <v>428.83</v>
      </c>
      <c r="F283" s="97">
        <f t="shared" si="23"/>
        <v>428.83</v>
      </c>
      <c r="G283" s="161" t="s">
        <v>1691</v>
      </c>
      <c r="H283" s="142" t="s">
        <v>1002</v>
      </c>
      <c r="I283" s="130" t="str">
        <f>VLOOKUP(H283,Presupuesto!$B$11:$C$565,2,0)</f>
        <v>EQUIPO MEDICO Y LABORATORIO</v>
      </c>
      <c r="J283" s="98" t="str">
        <f t="shared" si="22"/>
        <v>Gestión Administrativa y  financiera en apoyo al Desarrollo Académico</v>
      </c>
      <c r="K283" s="98" t="s">
        <v>396</v>
      </c>
    </row>
    <row r="284" spans="3:11" s="465" customFormat="1" x14ac:dyDescent="0.25">
      <c r="C284" s="567" t="s">
        <v>2108</v>
      </c>
      <c r="D284" s="607">
        <v>1</v>
      </c>
      <c r="E284" s="609">
        <v>75900</v>
      </c>
      <c r="F284" s="97">
        <f t="shared" si="23"/>
        <v>75900</v>
      </c>
      <c r="G284" s="161" t="s">
        <v>1691</v>
      </c>
      <c r="H284" s="142" t="s">
        <v>1002</v>
      </c>
      <c r="I284" s="130" t="str">
        <f>VLOOKUP(H284,Presupuesto!$B$11:$C$565,2,0)</f>
        <v>EQUIPO MEDICO Y LABORATORIO</v>
      </c>
      <c r="J284" s="98" t="str">
        <f t="shared" si="22"/>
        <v>Gestión Administrativa y  financiera en apoyo al Desarrollo Académico</v>
      </c>
      <c r="K284" s="98" t="s">
        <v>396</v>
      </c>
    </row>
    <row r="285" spans="3:11" s="465" customFormat="1" x14ac:dyDescent="0.25">
      <c r="C285" s="567" t="s">
        <v>2109</v>
      </c>
      <c r="D285" s="607">
        <v>10</v>
      </c>
      <c r="E285" s="609">
        <v>1000</v>
      </c>
      <c r="F285" s="97">
        <f t="shared" si="23"/>
        <v>10000</v>
      </c>
      <c r="G285" s="161" t="s">
        <v>1691</v>
      </c>
      <c r="H285" s="142" t="s">
        <v>1002</v>
      </c>
      <c r="I285" s="130" t="str">
        <f>VLOOKUP(H285,Presupuesto!$B$11:$C$565,2,0)</f>
        <v>EQUIPO MEDICO Y LABORATORIO</v>
      </c>
      <c r="J285" s="98" t="str">
        <f t="shared" si="22"/>
        <v>Gestión Administrativa y  financiera en apoyo al Desarrollo Académico</v>
      </c>
      <c r="K285" s="98" t="s">
        <v>396</v>
      </c>
    </row>
    <row r="286" spans="3:11" s="465" customFormat="1" x14ac:dyDescent="0.25">
      <c r="C286" s="567" t="s">
        <v>2110</v>
      </c>
      <c r="D286" s="607">
        <v>10</v>
      </c>
      <c r="E286" s="609">
        <v>1500</v>
      </c>
      <c r="F286" s="97">
        <f t="shared" si="23"/>
        <v>15000</v>
      </c>
      <c r="G286" s="161" t="s">
        <v>1691</v>
      </c>
      <c r="H286" s="142" t="s">
        <v>1002</v>
      </c>
      <c r="I286" s="130" t="str">
        <f>VLOOKUP(H286,Presupuesto!$B$11:$C$565,2,0)</f>
        <v>EQUIPO MEDICO Y LABORATORIO</v>
      </c>
      <c r="J286" s="98" t="str">
        <f t="shared" si="22"/>
        <v>Gestión Administrativa y  financiera en apoyo al Desarrollo Académico</v>
      </c>
      <c r="K286" s="98" t="s">
        <v>396</v>
      </c>
    </row>
    <row r="288" spans="3:11" ht="15.75" thickBot="1" x14ac:dyDescent="0.3">
      <c r="F288" s="90"/>
      <c r="G288" s="89"/>
      <c r="H288" s="90"/>
      <c r="I288" s="90"/>
    </row>
    <row r="289" spans="3:11" ht="15.75" thickBot="1" x14ac:dyDescent="0.3">
      <c r="C289" s="157" t="s">
        <v>53</v>
      </c>
      <c r="D289" s="372">
        <f>SUM(F296:F313)</f>
        <v>39300</v>
      </c>
      <c r="F289" s="70"/>
      <c r="G289" s="79"/>
      <c r="H289" s="70"/>
      <c r="I289" s="70"/>
    </row>
    <row r="290" spans="3:11" x14ac:dyDescent="0.25">
      <c r="C290" s="70"/>
      <c r="D290" s="31"/>
      <c r="E290" s="93"/>
      <c r="F290" s="93"/>
      <c r="G290" s="93"/>
      <c r="H290" s="76"/>
      <c r="I290" s="76"/>
      <c r="J290" s="76"/>
      <c r="K290" s="112"/>
    </row>
    <row r="291" spans="3:11" x14ac:dyDescent="0.25">
      <c r="C291" s="70"/>
      <c r="D291" s="31"/>
      <c r="E291" s="93"/>
      <c r="F291" s="93"/>
      <c r="G291" s="93"/>
      <c r="H291" s="76"/>
      <c r="I291" s="76"/>
      <c r="J291" s="76"/>
      <c r="K291" s="112"/>
    </row>
    <row r="292" spans="3:11" ht="15.75" x14ac:dyDescent="0.25">
      <c r="C292" s="202" t="s">
        <v>391</v>
      </c>
      <c r="D292" s="368" t="s">
        <v>2116</v>
      </c>
      <c r="E292" s="93"/>
      <c r="F292" s="93"/>
      <c r="G292" s="93"/>
      <c r="H292" s="76"/>
      <c r="I292" s="76"/>
      <c r="J292" s="76"/>
      <c r="K292" s="112"/>
    </row>
    <row r="293" spans="3:11" ht="18.75" x14ac:dyDescent="0.25">
      <c r="C293" s="210" t="str">
        <f>IFERROR(VLOOKUP(D292,'1. Desarrollo e Innov. Curricu.'!$F:$G,2,FALSE),IFERROR(VLOOKUP(D292,'2. Investigación Científica'!$F:$G,2,FALSE),IFERROR(VLOOKUP(D292,'3. Vinculación Univ. Sociedad'!$F:$G,2,FALSE),IFERROR(VLOOKUP(D292,'4. Docencia y Profesorado Univ.'!$F:$G,2,FALSE),IFERROR(VLOOKUP(D292,'5. Estudiantes y Graduados'!$F:$G,2,FALSE),IFERROR(VLOOKUP(D292,'11. Gestion Administrativa'!$F:$G,2,FALSE),IFERROR(VLOOKUP(D292,'13. Gestión Académica'!$F:$G,2,FALSE),IFERROR(VLOOKUP(D292,'9. Asegura. de la Calid. y M'!$F:$G,2,FALSE),IFERROR(VLOOKUP(D292,'6. Gestión del Conocimiento'!$F:$G,2,FALSE),IFERROR(VLOOKUP(D292,'15. Gobernabilidad y Proceso...'!$F:$G,2,FALSE),IFERROR(VLOOKUP(D292,'12. Gestión del Talento Humano'!$F:$G,2,FALSE),IFERROR(VLOOKUP(D292,'14. Internacional... de la E.S.'!$F:$G,2,FALSE),IFERROR(VLOOKUP(D292,'10. Posgrado'!$F:$G,2,FALSE),IFERROR(VLOOKUP(D292,'17. Gestión TIC'!$F:$G,2,FALSE),IFERROR(VLOOKUP(D292,'16. Desa. del Sistema Educ.Sup.'!$F:$G,2,FALSE),IFERROR(VLOOKUP(D292,'8. Cultura de Inno. Insti...'!$F:$G,2,FALSE),VLOOKUP(D292,'7. Lo Esencial de la Reforma U.'!$F:$G,2,0)))))))))))))))))</f>
        <v xml:space="preserve">Gestionar la Dotación material de estudio (textos) enlas areas de enfermeria para la biblioteca Alfredo León Gomez </v>
      </c>
      <c r="D293" s="31"/>
      <c r="E293" s="93"/>
      <c r="F293" s="93"/>
      <c r="G293" s="93"/>
      <c r="H293" s="76"/>
      <c r="I293" s="76"/>
      <c r="J293" s="76"/>
      <c r="K293" s="112"/>
    </row>
    <row r="294" spans="3:11" ht="15.75" thickBot="1" x14ac:dyDescent="0.3">
      <c r="F294" s="93"/>
      <c r="G294" s="76"/>
      <c r="H294" s="76"/>
      <c r="I294" s="76"/>
    </row>
    <row r="295" spans="3:11" ht="30.75" thickBot="1" x14ac:dyDescent="0.3">
      <c r="C295" s="129" t="s">
        <v>44</v>
      </c>
      <c r="D295" s="129" t="s">
        <v>55</v>
      </c>
      <c r="E295" s="136" t="s">
        <v>57</v>
      </c>
      <c r="F295" s="135" t="s">
        <v>27</v>
      </c>
      <c r="G295" s="133" t="s">
        <v>130</v>
      </c>
      <c r="H295" s="136" t="s">
        <v>46</v>
      </c>
      <c r="I295" s="133" t="s">
        <v>131</v>
      </c>
      <c r="J295" s="133" t="s">
        <v>409</v>
      </c>
      <c r="K295" s="133" t="s">
        <v>410</v>
      </c>
    </row>
    <row r="296" spans="3:11" x14ac:dyDescent="0.25">
      <c r="C296" s="220" t="s">
        <v>438</v>
      </c>
      <c r="D296" s="221"/>
      <c r="E296" s="219">
        <f>HLOOKUP(C296,$AH$2:$BU$3,2,0)</f>
        <v>620</v>
      </c>
      <c r="F296" s="97">
        <f t="shared" ref="F296:F313" si="24">D296*E296</f>
        <v>0</v>
      </c>
      <c r="G296" s="161"/>
      <c r="H296" s="142"/>
      <c r="I296" s="130" t="e">
        <f>VLOOKUP(H296,Presupuesto!$B$11:$C$565,2,0)</f>
        <v>#N/A</v>
      </c>
      <c r="J296" s="218" t="s">
        <v>1363</v>
      </c>
      <c r="K296" s="98" t="s">
        <v>399</v>
      </c>
    </row>
    <row r="297" spans="3:11" x14ac:dyDescent="0.25">
      <c r="C297" s="141" t="s">
        <v>2117</v>
      </c>
      <c r="D297" s="158">
        <v>3</v>
      </c>
      <c r="E297" s="123">
        <v>2500</v>
      </c>
      <c r="F297" s="97">
        <f t="shared" si="24"/>
        <v>7500</v>
      </c>
      <c r="G297" s="161" t="s">
        <v>128</v>
      </c>
      <c r="H297" s="142" t="s">
        <v>824</v>
      </c>
      <c r="I297" s="130" t="str">
        <f>VLOOKUP(H297,Presupuesto!$B$11:$C$565,2,0)</f>
        <v>LIBROS REVISTAS Y PERIODICOS</v>
      </c>
      <c r="J297" s="98" t="str">
        <f>$J$296</f>
        <v>Gestión Administrativa y  financiera en apoyo al Desarrollo Académico</v>
      </c>
      <c r="K297" s="98" t="s">
        <v>399</v>
      </c>
    </row>
    <row r="298" spans="3:11" ht="45" x14ac:dyDescent="0.25">
      <c r="C298" s="567" t="s">
        <v>2118</v>
      </c>
      <c r="D298" s="158">
        <v>4</v>
      </c>
      <c r="E298" s="123">
        <v>300</v>
      </c>
      <c r="F298" s="97">
        <f t="shared" si="24"/>
        <v>1200</v>
      </c>
      <c r="G298" s="161" t="s">
        <v>128</v>
      </c>
      <c r="H298" s="142" t="s">
        <v>824</v>
      </c>
      <c r="I298" s="130" t="str">
        <f>VLOOKUP(H298,Presupuesto!$B$11:$C$565,2,0)</f>
        <v>LIBROS REVISTAS Y PERIODICOS</v>
      </c>
      <c r="J298" s="98" t="str">
        <f t="shared" ref="J298:J313" si="25">$J$296</f>
        <v>Gestión Administrativa y  financiera en apoyo al Desarrollo Académico</v>
      </c>
      <c r="K298" s="98" t="s">
        <v>399</v>
      </c>
    </row>
    <row r="299" spans="3:11" ht="60" x14ac:dyDescent="0.25">
      <c r="C299" s="567" t="s">
        <v>2119</v>
      </c>
      <c r="D299" s="158">
        <v>4</v>
      </c>
      <c r="E299" s="123">
        <v>1000</v>
      </c>
      <c r="F299" s="97">
        <f t="shared" si="24"/>
        <v>4000</v>
      </c>
      <c r="G299" s="161" t="s">
        <v>128</v>
      </c>
      <c r="H299" s="142" t="s">
        <v>824</v>
      </c>
      <c r="I299" s="130" t="str">
        <f>VLOOKUP(H299,Presupuesto!$B$11:$C$565,2,0)</f>
        <v>LIBROS REVISTAS Y PERIODICOS</v>
      </c>
      <c r="J299" s="98" t="str">
        <f t="shared" si="25"/>
        <v>Gestión Administrativa y  financiera en apoyo al Desarrollo Académico</v>
      </c>
      <c r="K299" s="98" t="s">
        <v>399</v>
      </c>
    </row>
    <row r="300" spans="3:11" x14ac:dyDescent="0.25">
      <c r="C300" s="567" t="s">
        <v>2120</v>
      </c>
      <c r="D300" s="158">
        <v>4</v>
      </c>
      <c r="E300" s="123">
        <v>1000</v>
      </c>
      <c r="F300" s="97">
        <f t="shared" si="24"/>
        <v>4000</v>
      </c>
      <c r="G300" s="161" t="s">
        <v>128</v>
      </c>
      <c r="H300" s="142" t="s">
        <v>824</v>
      </c>
      <c r="I300" s="130" t="str">
        <f>VLOOKUP(H300,Presupuesto!$B$11:$C$565,2,0)</f>
        <v>LIBROS REVISTAS Y PERIODICOS</v>
      </c>
      <c r="J300" s="98" t="str">
        <f t="shared" si="25"/>
        <v>Gestión Administrativa y  financiera en apoyo al Desarrollo Académico</v>
      </c>
      <c r="K300" s="98" t="s">
        <v>399</v>
      </c>
    </row>
    <row r="301" spans="3:11" x14ac:dyDescent="0.25">
      <c r="C301" s="567" t="s">
        <v>2121</v>
      </c>
      <c r="D301" s="158">
        <v>4</v>
      </c>
      <c r="E301" s="123">
        <v>1000</v>
      </c>
      <c r="F301" s="97">
        <f t="shared" si="24"/>
        <v>4000</v>
      </c>
      <c r="G301" s="161" t="s">
        <v>128</v>
      </c>
      <c r="H301" s="142" t="s">
        <v>824</v>
      </c>
      <c r="I301" s="130" t="str">
        <f>VLOOKUP(H301,Presupuesto!$B$11:$C$565,2,0)</f>
        <v>LIBROS REVISTAS Y PERIODICOS</v>
      </c>
      <c r="J301" s="98" t="str">
        <f t="shared" si="25"/>
        <v>Gestión Administrativa y  financiera en apoyo al Desarrollo Académico</v>
      </c>
      <c r="K301" s="98" t="s">
        <v>399</v>
      </c>
    </row>
    <row r="302" spans="3:11" x14ac:dyDescent="0.25">
      <c r="C302" s="567" t="s">
        <v>2122</v>
      </c>
      <c r="D302" s="158">
        <v>6</v>
      </c>
      <c r="E302" s="123">
        <v>500</v>
      </c>
      <c r="F302" s="97">
        <f t="shared" si="24"/>
        <v>3000</v>
      </c>
      <c r="G302" s="161" t="s">
        <v>128</v>
      </c>
      <c r="H302" s="142" t="s">
        <v>824</v>
      </c>
      <c r="I302" s="130" t="str">
        <f>VLOOKUP(H302,Presupuesto!$B$11:$C$565,2,0)</f>
        <v>LIBROS REVISTAS Y PERIODICOS</v>
      </c>
      <c r="J302" s="98" t="str">
        <f t="shared" si="25"/>
        <v>Gestión Administrativa y  financiera en apoyo al Desarrollo Académico</v>
      </c>
      <c r="K302" s="98" t="s">
        <v>399</v>
      </c>
    </row>
    <row r="303" spans="3:11" x14ac:dyDescent="0.25">
      <c r="C303" s="141" t="s">
        <v>2123</v>
      </c>
      <c r="D303" s="158">
        <v>2</v>
      </c>
      <c r="E303" s="123">
        <v>1800</v>
      </c>
      <c r="F303" s="97">
        <f t="shared" si="24"/>
        <v>3600</v>
      </c>
      <c r="G303" s="161" t="s">
        <v>128</v>
      </c>
      <c r="H303" s="142" t="s">
        <v>824</v>
      </c>
      <c r="I303" s="130" t="str">
        <f>VLOOKUP(H303,Presupuesto!$B$11:$C$565,2,0)</f>
        <v>LIBROS REVISTAS Y PERIODICOS</v>
      </c>
      <c r="J303" s="98" t="str">
        <f t="shared" si="25"/>
        <v>Gestión Administrativa y  financiera en apoyo al Desarrollo Académico</v>
      </c>
      <c r="K303" s="98" t="s">
        <v>399</v>
      </c>
    </row>
    <row r="304" spans="3:11" x14ac:dyDescent="0.25">
      <c r="C304" s="141" t="s">
        <v>2124</v>
      </c>
      <c r="D304" s="158">
        <v>4</v>
      </c>
      <c r="E304" s="123">
        <v>300</v>
      </c>
      <c r="F304" s="97">
        <f t="shared" si="24"/>
        <v>1200</v>
      </c>
      <c r="G304" s="161" t="s">
        <v>128</v>
      </c>
      <c r="H304" s="142" t="s">
        <v>824</v>
      </c>
      <c r="I304" s="130" t="str">
        <f>VLOOKUP(H304,Presupuesto!$B$11:$C$565,2,0)</f>
        <v>LIBROS REVISTAS Y PERIODICOS</v>
      </c>
      <c r="J304" s="98" t="str">
        <f t="shared" si="25"/>
        <v>Gestión Administrativa y  financiera en apoyo al Desarrollo Académico</v>
      </c>
      <c r="K304" s="98" t="s">
        <v>399</v>
      </c>
    </row>
    <row r="305" spans="3:11" x14ac:dyDescent="0.25">
      <c r="C305" s="141" t="s">
        <v>2125</v>
      </c>
      <c r="D305" s="158">
        <v>4</v>
      </c>
      <c r="E305" s="123">
        <v>300</v>
      </c>
      <c r="F305" s="97">
        <f t="shared" si="24"/>
        <v>1200</v>
      </c>
      <c r="G305" s="161" t="s">
        <v>128</v>
      </c>
      <c r="H305" s="142" t="s">
        <v>824</v>
      </c>
      <c r="I305" s="130" t="str">
        <f>VLOOKUP(H305,Presupuesto!$B$11:$C$565,2,0)</f>
        <v>LIBROS REVISTAS Y PERIODICOS</v>
      </c>
      <c r="J305" s="98" t="str">
        <f t="shared" si="25"/>
        <v>Gestión Administrativa y  financiera en apoyo al Desarrollo Académico</v>
      </c>
      <c r="K305" s="98" t="s">
        <v>399</v>
      </c>
    </row>
    <row r="306" spans="3:11" x14ac:dyDescent="0.25">
      <c r="C306" s="141" t="s">
        <v>2126</v>
      </c>
      <c r="D306" s="158">
        <v>4</v>
      </c>
      <c r="E306" s="123">
        <v>300</v>
      </c>
      <c r="F306" s="97">
        <f t="shared" si="24"/>
        <v>1200</v>
      </c>
      <c r="G306" s="161" t="s">
        <v>128</v>
      </c>
      <c r="H306" s="142" t="s">
        <v>824</v>
      </c>
      <c r="I306" s="130" t="str">
        <f>VLOOKUP(H306,Presupuesto!$B$11:$C$565,2,0)</f>
        <v>LIBROS REVISTAS Y PERIODICOS</v>
      </c>
      <c r="J306" s="98" t="str">
        <f t="shared" si="25"/>
        <v>Gestión Administrativa y  financiera en apoyo al Desarrollo Académico</v>
      </c>
      <c r="K306" s="98" t="s">
        <v>399</v>
      </c>
    </row>
    <row r="307" spans="3:11" x14ac:dyDescent="0.25">
      <c r="C307" s="141" t="s">
        <v>2127</v>
      </c>
      <c r="D307" s="158">
        <v>4</v>
      </c>
      <c r="E307" s="123">
        <v>300</v>
      </c>
      <c r="F307" s="97">
        <f t="shared" si="24"/>
        <v>1200</v>
      </c>
      <c r="G307" s="161" t="s">
        <v>128</v>
      </c>
      <c r="H307" s="142" t="s">
        <v>824</v>
      </c>
      <c r="I307" s="130" t="str">
        <f>VLOOKUP(H307,Presupuesto!$B$11:$C$565,2,0)</f>
        <v>LIBROS REVISTAS Y PERIODICOS</v>
      </c>
      <c r="J307" s="98" t="str">
        <f t="shared" si="25"/>
        <v>Gestión Administrativa y  financiera en apoyo al Desarrollo Académico</v>
      </c>
      <c r="K307" s="98" t="s">
        <v>399</v>
      </c>
    </row>
    <row r="308" spans="3:11" x14ac:dyDescent="0.25">
      <c r="C308" s="141" t="s">
        <v>2128</v>
      </c>
      <c r="D308" s="158">
        <v>4</v>
      </c>
      <c r="E308" s="123">
        <v>300</v>
      </c>
      <c r="F308" s="97">
        <f t="shared" si="24"/>
        <v>1200</v>
      </c>
      <c r="G308" s="161" t="s">
        <v>128</v>
      </c>
      <c r="H308" s="142" t="s">
        <v>824</v>
      </c>
      <c r="I308" s="130" t="str">
        <f>VLOOKUP(H308,Presupuesto!$B$11:$C$565,2,0)</f>
        <v>LIBROS REVISTAS Y PERIODICOS</v>
      </c>
      <c r="J308" s="98" t="str">
        <f t="shared" si="25"/>
        <v>Gestión Administrativa y  financiera en apoyo al Desarrollo Académico</v>
      </c>
      <c r="K308" s="98" t="s">
        <v>399</v>
      </c>
    </row>
    <row r="309" spans="3:11" x14ac:dyDescent="0.25">
      <c r="C309" s="141" t="s">
        <v>2129</v>
      </c>
      <c r="D309" s="158">
        <v>4</v>
      </c>
      <c r="E309" s="123">
        <v>300</v>
      </c>
      <c r="F309" s="97">
        <f t="shared" si="24"/>
        <v>1200</v>
      </c>
      <c r="G309" s="161" t="s">
        <v>128</v>
      </c>
      <c r="H309" s="142" t="s">
        <v>824</v>
      </c>
      <c r="I309" s="130" t="str">
        <f>VLOOKUP(H309,Presupuesto!$B$11:$C$565,2,0)</f>
        <v>LIBROS REVISTAS Y PERIODICOS</v>
      </c>
      <c r="J309" s="98" t="str">
        <f t="shared" si="25"/>
        <v>Gestión Administrativa y  financiera en apoyo al Desarrollo Académico</v>
      </c>
      <c r="K309" s="98" t="s">
        <v>399</v>
      </c>
    </row>
    <row r="310" spans="3:11" x14ac:dyDescent="0.25">
      <c r="C310" s="141" t="s">
        <v>2130</v>
      </c>
      <c r="D310" s="158">
        <v>4</v>
      </c>
      <c r="E310" s="123">
        <v>300</v>
      </c>
      <c r="F310" s="97">
        <f t="shared" si="24"/>
        <v>1200</v>
      </c>
      <c r="G310" s="161" t="s">
        <v>128</v>
      </c>
      <c r="H310" s="142" t="s">
        <v>824</v>
      </c>
      <c r="I310" s="130" t="str">
        <f>VLOOKUP(H310,Presupuesto!$B$11:$C$565,2,0)</f>
        <v>LIBROS REVISTAS Y PERIODICOS</v>
      </c>
      <c r="J310" s="98" t="str">
        <f t="shared" si="25"/>
        <v>Gestión Administrativa y  financiera en apoyo al Desarrollo Académico</v>
      </c>
      <c r="K310" s="98" t="s">
        <v>399</v>
      </c>
    </row>
    <row r="311" spans="3:11" x14ac:dyDescent="0.25">
      <c r="C311" s="141" t="s">
        <v>2131</v>
      </c>
      <c r="D311" s="158">
        <v>4</v>
      </c>
      <c r="E311" s="123">
        <v>300</v>
      </c>
      <c r="F311" s="97">
        <f t="shared" si="24"/>
        <v>1200</v>
      </c>
      <c r="G311" s="161" t="s">
        <v>128</v>
      </c>
      <c r="H311" s="142" t="s">
        <v>824</v>
      </c>
      <c r="I311" s="130" t="str">
        <f>VLOOKUP(H311,Presupuesto!$B$11:$C$565,2,0)</f>
        <v>LIBROS REVISTAS Y PERIODICOS</v>
      </c>
      <c r="J311" s="98" t="str">
        <f t="shared" si="25"/>
        <v>Gestión Administrativa y  financiera en apoyo al Desarrollo Académico</v>
      </c>
      <c r="K311" s="98" t="s">
        <v>399</v>
      </c>
    </row>
    <row r="312" spans="3:11" x14ac:dyDescent="0.25">
      <c r="C312" s="141" t="s">
        <v>2132</v>
      </c>
      <c r="D312" s="158">
        <v>4</v>
      </c>
      <c r="E312" s="123">
        <v>300</v>
      </c>
      <c r="F312" s="97">
        <f t="shared" si="24"/>
        <v>1200</v>
      </c>
      <c r="G312" s="161" t="s">
        <v>128</v>
      </c>
      <c r="H312" s="142" t="s">
        <v>824</v>
      </c>
      <c r="I312" s="130" t="str">
        <f>VLOOKUP(H312,Presupuesto!$B$11:$C$565,2,0)</f>
        <v>LIBROS REVISTAS Y PERIODICOS</v>
      </c>
      <c r="J312" s="98" t="str">
        <f t="shared" si="25"/>
        <v>Gestión Administrativa y  financiera en apoyo al Desarrollo Académico</v>
      </c>
      <c r="K312" s="98" t="s">
        <v>399</v>
      </c>
    </row>
    <row r="313" spans="3:11" x14ac:dyDescent="0.25">
      <c r="C313" s="141" t="s">
        <v>2133</v>
      </c>
      <c r="D313" s="158">
        <v>4</v>
      </c>
      <c r="E313" s="123">
        <v>300</v>
      </c>
      <c r="F313" s="97">
        <f t="shared" si="24"/>
        <v>1200</v>
      </c>
      <c r="G313" s="161" t="s">
        <v>128</v>
      </c>
      <c r="H313" s="142" t="s">
        <v>824</v>
      </c>
      <c r="I313" s="130" t="str">
        <f>VLOOKUP(H313,Presupuesto!$B$11:$C$565,2,0)</f>
        <v>LIBROS REVISTAS Y PERIODICOS</v>
      </c>
      <c r="J313" s="98" t="str">
        <f t="shared" si="25"/>
        <v>Gestión Administrativa y  financiera en apoyo al Desarrollo Académico</v>
      </c>
      <c r="K313" s="98" t="s">
        <v>399</v>
      </c>
    </row>
    <row r="315" spans="3:11" ht="15.75" thickBot="1" x14ac:dyDescent="0.3"/>
    <row r="316" spans="3:11" ht="15.75" thickBot="1" x14ac:dyDescent="0.3">
      <c r="C316" s="157" t="s">
        <v>53</v>
      </c>
      <c r="D316" s="372">
        <f>SUM(F323:F323)</f>
        <v>20000</v>
      </c>
      <c r="F316" s="70"/>
      <c r="G316" s="79"/>
      <c r="H316" s="70"/>
      <c r="I316" s="70"/>
    </row>
    <row r="317" spans="3:11" x14ac:dyDescent="0.25">
      <c r="C317" s="70"/>
      <c r="D317" s="31"/>
      <c r="E317" s="93"/>
      <c r="F317" s="93"/>
      <c r="G317" s="93"/>
      <c r="H317" s="76"/>
      <c r="I317" s="76"/>
      <c r="J317" s="76"/>
      <c r="K317" s="112"/>
    </row>
    <row r="318" spans="3:11" x14ac:dyDescent="0.25">
      <c r="C318" s="70"/>
      <c r="D318" s="31"/>
      <c r="E318" s="93"/>
      <c r="F318" s="93"/>
      <c r="G318" s="93"/>
      <c r="H318" s="76"/>
      <c r="I318" s="76"/>
      <c r="J318" s="76"/>
      <c r="K318" s="112"/>
    </row>
    <row r="319" spans="3:11" ht="15.75" x14ac:dyDescent="0.25">
      <c r="C319" s="202" t="s">
        <v>391</v>
      </c>
      <c r="D319" s="368" t="s">
        <v>2140</v>
      </c>
      <c r="E319" s="93"/>
      <c r="F319" s="93"/>
      <c r="G319" s="93"/>
      <c r="H319" s="76"/>
      <c r="I319" s="76"/>
      <c r="J319" s="76"/>
      <c r="K319" s="112"/>
    </row>
    <row r="320" spans="3:11" ht="18.75" x14ac:dyDescent="0.25">
      <c r="C320" s="210" t="str">
        <f>IFERROR(VLOOKUP(D319,'1. Desarrollo e Innov. Curricu.'!$F:$G,2,FALSE),IFERROR(VLOOKUP(D319,'2. Investigación Científica'!$F:$G,2,FALSE),IFERROR(VLOOKUP(D319,'3. Vinculación Univ. Sociedad'!$F:$G,2,FALSE),IFERROR(VLOOKUP(D319,'4. Docencia y Profesorado Univ.'!$F:$G,2,FALSE),IFERROR(VLOOKUP(D319,'5. Estudiantes y Graduados'!$F:$G,2,FALSE),IFERROR(VLOOKUP(D319,'11. Gestion Administrativa'!$F:$G,2,FALSE),IFERROR(VLOOKUP(D319,'13. Gestión Académica'!$F:$G,2,FALSE),IFERROR(VLOOKUP(D319,'9. Asegura. de la Calid. y M'!$F:$G,2,FALSE),IFERROR(VLOOKUP(D319,'6. Gestión del Conocimiento'!$F:$G,2,FALSE),IFERROR(VLOOKUP(D319,'15. Gobernabilidad y Proceso...'!$F:$G,2,FALSE),IFERROR(VLOOKUP(D319,'12. Gestión del Talento Humano'!$F:$G,2,FALSE),IFERROR(VLOOKUP(D319,'14. Internacional... de la E.S.'!$F:$G,2,FALSE),IFERROR(VLOOKUP(D319,'10. Posgrado'!$F:$G,2,FALSE),IFERROR(VLOOKUP(D319,'17. Gestión TIC'!$F:$G,2,FALSE),IFERROR(VLOOKUP(D319,'16. Desa. del Sistema Educ.Sup.'!$F:$G,2,FALSE),IFERROR(VLOOKUP(D319,'8. Cultura de Inno. Insti...'!$F:$G,2,FALSE),VLOOKUP(D319,'7. Lo Esencial de la Reforma U.'!$F:$G,2,0)))))))))))))))))</f>
        <v xml:space="preserve">Continuar  con el proceso de rediseño curricular de la Carrera de Enfermeria con la Escuela de enfermeria y los Centros regionales que tienen  la carrera  de enfermeria.    4  encuentros  pudiera ser en san pedro sula ,ceiba o tegucigalpa ,sobre avances en el proceso curricular, con autoridades y comisiones representantes de  los diferentes centros regionales. </v>
      </c>
      <c r="D320" s="31"/>
      <c r="E320" s="93"/>
      <c r="F320" s="93"/>
      <c r="G320" s="93"/>
      <c r="H320" s="76"/>
      <c r="I320" s="76"/>
      <c r="J320" s="76"/>
      <c r="K320" s="112"/>
    </row>
    <row r="321" spans="3:11" ht="15.75" thickBot="1" x14ac:dyDescent="0.3">
      <c r="F321" s="93"/>
      <c r="G321" s="76"/>
      <c r="H321" s="76"/>
      <c r="I321" s="76"/>
    </row>
    <row r="322" spans="3:11" ht="30.75" thickBot="1" x14ac:dyDescent="0.3">
      <c r="C322" s="129" t="s">
        <v>44</v>
      </c>
      <c r="D322" s="129" t="s">
        <v>55</v>
      </c>
      <c r="E322" s="136" t="s">
        <v>57</v>
      </c>
      <c r="F322" s="135" t="s">
        <v>27</v>
      </c>
      <c r="G322" s="133" t="s">
        <v>130</v>
      </c>
      <c r="H322" s="136" t="s">
        <v>46</v>
      </c>
      <c r="I322" s="133" t="s">
        <v>131</v>
      </c>
      <c r="J322" s="133" t="s">
        <v>409</v>
      </c>
      <c r="K322" s="133" t="s">
        <v>410</v>
      </c>
    </row>
    <row r="323" spans="3:11" x14ac:dyDescent="0.25">
      <c r="C323" s="220" t="s">
        <v>427</v>
      </c>
      <c r="D323" s="221">
        <f>4*2.5</f>
        <v>10</v>
      </c>
      <c r="E323" s="219">
        <f>HLOOKUP(C323,$AH$2:$BU$3,2,0)</f>
        <v>2000</v>
      </c>
      <c r="F323" s="97">
        <f t="shared" ref="F323" si="26">D323*E323</f>
        <v>20000</v>
      </c>
      <c r="G323" s="161" t="s">
        <v>128</v>
      </c>
      <c r="H323" s="142" t="s">
        <v>760</v>
      </c>
      <c r="I323" s="130" t="str">
        <f>VLOOKUP(H323,Presupuesto!$B$11:$C$565,2,0)</f>
        <v>VIATICOS NACIONALES</v>
      </c>
      <c r="J323" s="218" t="s">
        <v>1363</v>
      </c>
      <c r="K323" s="98" t="s">
        <v>396</v>
      </c>
    </row>
    <row r="325" spans="3:11" ht="15.75" thickBot="1" x14ac:dyDescent="0.3">
      <c r="F325" s="90"/>
      <c r="G325" s="89"/>
      <c r="H325" s="90"/>
      <c r="I325" s="90"/>
    </row>
    <row r="326" spans="3:11" ht="15.75" thickBot="1" x14ac:dyDescent="0.3">
      <c r="C326" s="157" t="s">
        <v>53</v>
      </c>
      <c r="D326" s="372">
        <f>SUM(F333:F334)</f>
        <v>21700</v>
      </c>
      <c r="F326" s="70"/>
      <c r="G326" s="79"/>
      <c r="H326" s="70"/>
      <c r="I326" s="70"/>
    </row>
    <row r="327" spans="3:11" x14ac:dyDescent="0.25">
      <c r="C327" s="70"/>
      <c r="D327" s="31"/>
      <c r="E327" s="93"/>
      <c r="F327" s="93"/>
      <c r="G327" s="93"/>
      <c r="H327" s="76"/>
      <c r="I327" s="76"/>
      <c r="J327" s="76"/>
      <c r="K327" s="112"/>
    </row>
    <row r="328" spans="3:11" x14ac:dyDescent="0.25">
      <c r="C328" s="70"/>
      <c r="D328" s="31"/>
      <c r="E328" s="93"/>
      <c r="F328" s="93"/>
      <c r="G328" s="93"/>
      <c r="H328" s="76"/>
      <c r="I328" s="76"/>
      <c r="J328" s="76"/>
      <c r="K328" s="112"/>
    </row>
    <row r="329" spans="3:11" ht="15.75" x14ac:dyDescent="0.25">
      <c r="C329" s="202" t="s">
        <v>391</v>
      </c>
      <c r="D329" s="368" t="s">
        <v>2149</v>
      </c>
      <c r="E329" s="93"/>
      <c r="F329" s="93"/>
      <c r="G329" s="93"/>
      <c r="H329" s="76"/>
      <c r="I329" s="76"/>
      <c r="J329" s="76"/>
      <c r="K329" s="112"/>
    </row>
    <row r="330" spans="3:11" ht="18.75" x14ac:dyDescent="0.25">
      <c r="C330" s="210" t="str">
        <f>IFERROR(VLOOKUP(D329,'1. Desarrollo e Innov. Curricu.'!$F:$G,2,FALSE),IFERROR(VLOOKUP(D329,'2. Investigación Científica'!$F:$G,2,FALSE),IFERROR(VLOOKUP(D329,'3. Vinculación Univ. Sociedad'!$F:$G,2,FALSE),IFERROR(VLOOKUP(D329,'4. Docencia y Profesorado Univ.'!$F:$G,2,FALSE),IFERROR(VLOOKUP(D329,'5. Estudiantes y Graduados'!$F:$G,2,FALSE),IFERROR(VLOOKUP(D329,'11. Gestion Administrativa'!$F:$G,2,FALSE),IFERROR(VLOOKUP(D329,'13. Gestión Académica'!$F:$G,2,FALSE),IFERROR(VLOOKUP(D329,'9. Asegura. de la Calid. y M'!$F:$G,2,FALSE),IFERROR(VLOOKUP(D329,'6. Gestión del Conocimiento'!$F:$G,2,FALSE),IFERROR(VLOOKUP(D329,'15. Gobernabilidad y Proceso...'!$F:$G,2,FALSE),IFERROR(VLOOKUP(D329,'12. Gestión del Talento Humano'!$F:$G,2,FALSE),IFERROR(VLOOKUP(D329,'14. Internacional... de la E.S.'!$F:$G,2,FALSE),IFERROR(VLOOKUP(D329,'10. Posgrado'!$F:$G,2,FALSE),IFERROR(VLOOKUP(D329,'17. Gestión TIC'!$F:$G,2,FALSE),IFERROR(VLOOKUP(D329,'16. Desa. del Sistema Educ.Sup.'!$F:$G,2,FALSE),IFERROR(VLOOKUP(D329,'8. Cultura de Inno. Insti...'!$F:$G,2,FALSE),VLOOKUP(D329,'7. Lo Esencial de la Reforma U.'!$F:$G,2,0)))))))))))))))))</f>
        <v>Supervision de estudiantes en: Ejercicio Profesional( 2 en el año) :El Paraiso( AGI), Ciudad de Danli.                     Servicio Social( 2 en el año). En las siguientes comunidades:Alauca,Paraisito,Santa Maria,Palo Verde, Ojo de Agua, Jacaleapa, El Paraiso, Teupacenti, San Matias, El zapotillo, Jutiapa, San Diego, Quebrada Larga, Ciudad de Danli(Nueva Esperanza ,HRGA,Consulta Externa del Hospital Grabriela Alvarado(Hospital Viejo)) .</v>
      </c>
      <c r="D330" s="31"/>
      <c r="E330" s="93"/>
      <c r="F330" s="93"/>
      <c r="G330" s="93"/>
      <c r="H330" s="76"/>
      <c r="I330" s="76"/>
      <c r="J330" s="76"/>
      <c r="K330" s="112"/>
    </row>
    <row r="331" spans="3:11" ht="15.75" thickBot="1" x14ac:dyDescent="0.3">
      <c r="F331" s="93"/>
      <c r="G331" s="76"/>
      <c r="H331" s="76"/>
      <c r="I331" s="76"/>
    </row>
    <row r="332" spans="3:11" ht="30.75" thickBot="1" x14ac:dyDescent="0.3">
      <c r="C332" s="129" t="s">
        <v>44</v>
      </c>
      <c r="D332" s="129" t="s">
        <v>55</v>
      </c>
      <c r="E332" s="136" t="s">
        <v>57</v>
      </c>
      <c r="F332" s="135" t="s">
        <v>27</v>
      </c>
      <c r="G332" s="133" t="s">
        <v>130</v>
      </c>
      <c r="H332" s="136" t="s">
        <v>46</v>
      </c>
      <c r="I332" s="133" t="s">
        <v>131</v>
      </c>
      <c r="J332" s="133" t="s">
        <v>409</v>
      </c>
      <c r="K332" s="133" t="s">
        <v>410</v>
      </c>
    </row>
    <row r="333" spans="3:11" x14ac:dyDescent="0.25">
      <c r="C333" s="220" t="s">
        <v>429</v>
      </c>
      <c r="D333" s="221">
        <f>0.5*7*4</f>
        <v>14</v>
      </c>
      <c r="E333" s="219">
        <f>HLOOKUP(C333,$AH$2:$BU$3,2,0)</f>
        <v>1150</v>
      </c>
      <c r="F333" s="97">
        <f t="shared" ref="F333:F334" si="27">D333*E333</f>
        <v>16100</v>
      </c>
      <c r="G333" s="161" t="s">
        <v>128</v>
      </c>
      <c r="H333" s="142" t="s">
        <v>760</v>
      </c>
      <c r="I333" s="130" t="str">
        <f>VLOOKUP(H333,Presupuesto!$B$11:$C$565,2,0)</f>
        <v>VIATICOS NACIONALES</v>
      </c>
      <c r="J333" s="218" t="s">
        <v>1357</v>
      </c>
      <c r="K333" s="98" t="s">
        <v>393</v>
      </c>
    </row>
    <row r="334" spans="3:11" x14ac:dyDescent="0.25">
      <c r="C334" s="141" t="s">
        <v>2154</v>
      </c>
      <c r="D334" s="158">
        <f>7*4</f>
        <v>28</v>
      </c>
      <c r="E334" s="123">
        <v>200</v>
      </c>
      <c r="F334" s="97">
        <f t="shared" si="27"/>
        <v>5600</v>
      </c>
      <c r="G334" s="161" t="s">
        <v>128</v>
      </c>
      <c r="H334" s="142" t="s">
        <v>870</v>
      </c>
      <c r="I334" s="130" t="str">
        <f>VLOOKUP(H334,Presupuesto!$B$11:$C$565,2,0)</f>
        <v>GASOLINA</v>
      </c>
      <c r="J334" s="98" t="str">
        <f>$J$333</f>
        <v>Docencia y Profesorado Universitario</v>
      </c>
      <c r="K334" s="98" t="s">
        <v>411</v>
      </c>
    </row>
    <row r="336" spans="3:11" s="465" customFormat="1" ht="15.75" thickBot="1" x14ac:dyDescent="0.3">
      <c r="G336" s="452"/>
    </row>
    <row r="337" spans="3:11" s="465" customFormat="1" ht="15.75" thickBot="1" x14ac:dyDescent="0.3">
      <c r="C337" s="157" t="s">
        <v>53</v>
      </c>
      <c r="D337" s="372">
        <f>SUM(F344:F344)</f>
        <v>15000</v>
      </c>
      <c r="F337" s="70"/>
      <c r="G337" s="79"/>
      <c r="H337" s="70"/>
      <c r="I337" s="70"/>
    </row>
    <row r="338" spans="3:11" s="465" customFormat="1" x14ac:dyDescent="0.25">
      <c r="C338" s="70"/>
      <c r="D338" s="31"/>
      <c r="E338" s="93"/>
      <c r="F338" s="93"/>
      <c r="G338" s="93"/>
      <c r="H338" s="76"/>
      <c r="I338" s="76"/>
      <c r="J338" s="76"/>
      <c r="K338" s="112"/>
    </row>
    <row r="339" spans="3:11" s="465" customFormat="1" x14ac:dyDescent="0.25">
      <c r="C339" s="70"/>
      <c r="D339" s="31"/>
      <c r="E339" s="93"/>
      <c r="F339" s="93"/>
      <c r="G339" s="93"/>
      <c r="H339" s="76"/>
      <c r="I339" s="76"/>
      <c r="J339" s="76"/>
      <c r="K339" s="112"/>
    </row>
    <row r="340" spans="3:11" s="465" customFormat="1" ht="15.75" x14ac:dyDescent="0.25">
      <c r="C340" s="202" t="s">
        <v>391</v>
      </c>
      <c r="D340" s="368" t="s">
        <v>2156</v>
      </c>
      <c r="E340" s="93"/>
      <c r="F340" s="93"/>
      <c r="G340" s="93"/>
      <c r="H340" s="76"/>
      <c r="I340" s="76"/>
      <c r="J340" s="76"/>
      <c r="K340" s="112"/>
    </row>
    <row r="341" spans="3:11" s="465" customFormat="1" ht="18.75" x14ac:dyDescent="0.25">
      <c r="C341" s="210" t="str">
        <f>IFERROR(VLOOKUP(D340,'1. Desarrollo e Innov. Curricu.'!$F:$G,2,FALSE),IFERROR(VLOOKUP(D340,'2. Investigación Científica'!$F:$G,2,FALSE),IFERROR(VLOOKUP(D340,'3. Vinculación Univ. Sociedad'!$F:$G,2,FALSE),IFERROR(VLOOKUP(D340,'4. Docencia y Profesorado Univ.'!$F:$G,2,FALSE),IFERROR(VLOOKUP(D340,'5. Estudiantes y Graduados'!$F:$G,2,FALSE),IFERROR(VLOOKUP(D340,'11. Gestion Administrativa'!$F:$G,2,FALSE),IFERROR(VLOOKUP(D340,'13. Gestión Académica'!$F:$G,2,FALSE),IFERROR(VLOOKUP(D340,'9. Asegura. de la Calid. y M'!$F:$G,2,FALSE),IFERROR(VLOOKUP(D340,'6. Gestión del Conocimiento'!$F:$G,2,FALSE),IFERROR(VLOOKUP(D340,'15. Gobernabilidad y Proceso...'!$F:$G,2,FALSE),IFERROR(VLOOKUP(D340,'12. Gestión del Talento Humano'!$F:$G,2,FALSE),IFERROR(VLOOKUP(D340,'14. Internacional... de la E.S.'!$F:$G,2,FALSE),IFERROR(VLOOKUP(D340,'10. Posgrado'!$F:$G,2,FALSE),IFERROR(VLOOKUP(D340,'17. Gestión TIC'!$F:$G,2,FALSE),IFERROR(VLOOKUP(D340,'16. Desa. del Sistema Educ.Sup.'!$F:$G,2,FALSE),IFERROR(VLOOKUP(D340,'8. Cultura de Inno. Insti...'!$F:$G,2,FALSE),VLOOKUP(D340,'7. Lo Esencial de la Reforma U.'!$F:$G,2,0)))))))))))))))))</f>
        <v xml:space="preserve">Desarrollo de competencias  clinicas en el Hospital Mario Mendoza ,Hospital Militar ( Cuidados intensivos),Hospital Escuela Universitario (Dialisis, Hemodialisis ) </v>
      </c>
      <c r="D341" s="31"/>
      <c r="E341" s="93"/>
      <c r="F341" s="93"/>
      <c r="G341" s="93"/>
      <c r="H341" s="76"/>
      <c r="I341" s="76"/>
      <c r="J341" s="76"/>
      <c r="K341" s="112"/>
    </row>
    <row r="342" spans="3:11" s="465" customFormat="1" ht="15.75" thickBot="1" x14ac:dyDescent="0.3">
      <c r="F342" s="93"/>
      <c r="G342" s="76"/>
      <c r="H342" s="76"/>
      <c r="I342" s="76"/>
    </row>
    <row r="343" spans="3:11" s="465" customFormat="1" ht="30.75" thickBot="1" x14ac:dyDescent="0.3">
      <c r="C343" s="129" t="s">
        <v>44</v>
      </c>
      <c r="D343" s="129" t="s">
        <v>55</v>
      </c>
      <c r="E343" s="136" t="s">
        <v>57</v>
      </c>
      <c r="F343" s="135" t="s">
        <v>27</v>
      </c>
      <c r="G343" s="133" t="s">
        <v>130</v>
      </c>
      <c r="H343" s="136" t="s">
        <v>46</v>
      </c>
      <c r="I343" s="133" t="s">
        <v>131</v>
      </c>
      <c r="J343" s="133" t="s">
        <v>409</v>
      </c>
      <c r="K343" s="133" t="s">
        <v>410</v>
      </c>
    </row>
    <row r="344" spans="3:11" s="465" customFormat="1" x14ac:dyDescent="0.25">
      <c r="C344" s="220" t="s">
        <v>427</v>
      </c>
      <c r="D344" s="221">
        <f>(5*0.5)*3</f>
        <v>7.5</v>
      </c>
      <c r="E344" s="219">
        <f>HLOOKUP(C344,$AH$2:$BU$3,2,0)</f>
        <v>2000</v>
      </c>
      <c r="F344" s="97">
        <f t="shared" ref="F344" si="28">D344*E344</f>
        <v>15000</v>
      </c>
      <c r="G344" s="161" t="s">
        <v>128</v>
      </c>
      <c r="H344" s="142" t="s">
        <v>760</v>
      </c>
      <c r="I344" s="130" t="str">
        <f>VLOOKUP(H344,Presupuesto!$B$11:$C$565,2,0)</f>
        <v>VIATICOS NACIONALES</v>
      </c>
      <c r="J344" s="218" t="s">
        <v>1357</v>
      </c>
      <c r="K344" s="98" t="s">
        <v>393</v>
      </c>
    </row>
    <row r="345" spans="3:11" s="465" customFormat="1" x14ac:dyDescent="0.25">
      <c r="G345" s="452"/>
    </row>
    <row r="346" spans="3:11" s="465" customFormat="1" x14ac:dyDescent="0.25">
      <c r="G346" s="452"/>
    </row>
    <row r="347" spans="3:11" s="465" customFormat="1" x14ac:dyDescent="0.25">
      <c r="G347" s="452"/>
    </row>
    <row r="348" spans="3:11" s="465" customFormat="1" x14ac:dyDescent="0.25">
      <c r="G348" s="452"/>
    </row>
    <row r="349" spans="3:11" ht="15.75" thickBot="1" x14ac:dyDescent="0.3"/>
    <row r="350" spans="3:11" ht="15.75" thickBot="1" x14ac:dyDescent="0.3">
      <c r="C350" s="157" t="s">
        <v>53</v>
      </c>
      <c r="D350" s="372">
        <f>SUM(F357:F360)</f>
        <v>6500</v>
      </c>
      <c r="F350" s="70"/>
      <c r="G350" s="79"/>
      <c r="H350" s="70"/>
      <c r="I350" s="70"/>
    </row>
    <row r="351" spans="3:11" x14ac:dyDescent="0.25">
      <c r="C351" s="70"/>
      <c r="D351" s="31"/>
      <c r="E351" s="93"/>
      <c r="F351" s="93"/>
      <c r="G351" s="93"/>
      <c r="H351" s="76"/>
      <c r="I351" s="76"/>
      <c r="J351" s="76"/>
      <c r="K351" s="112"/>
    </row>
    <row r="352" spans="3:11" x14ac:dyDescent="0.25">
      <c r="C352" s="70"/>
      <c r="D352" s="31"/>
      <c r="E352" s="93"/>
      <c r="F352" s="93"/>
      <c r="G352" s="93"/>
      <c r="H352" s="76"/>
      <c r="I352" s="76"/>
      <c r="J352" s="76"/>
      <c r="K352" s="112"/>
    </row>
    <row r="353" spans="3:11" ht="15.75" x14ac:dyDescent="0.25">
      <c r="C353" s="202" t="s">
        <v>391</v>
      </c>
      <c r="D353" s="368" t="s">
        <v>2189</v>
      </c>
      <c r="E353" s="93"/>
      <c r="F353" s="93"/>
      <c r="G353" s="93"/>
      <c r="H353" s="76"/>
      <c r="I353" s="76"/>
      <c r="J353" s="76"/>
      <c r="K353" s="112"/>
    </row>
    <row r="354" spans="3:11" ht="18.75" x14ac:dyDescent="0.25">
      <c r="C354" s="210" t="str">
        <f>IFERROR(VLOOKUP(D353,'1. Desarrollo e Innov. Curricu.'!$F:$G,2,FALSE),IFERROR(VLOOKUP(D353,'2. Investigación Científica'!$F:$G,2,FALSE),IFERROR(VLOOKUP(D353,'3. Vinculación Univ. Sociedad'!$F:$G,2,FALSE),IFERROR(VLOOKUP(D353,'4. Docencia y Profesorado Univ.'!$F:$G,2,FALSE),IFERROR(VLOOKUP(D353,'5. Estudiantes y Graduados'!$F:$G,2,FALSE),IFERROR(VLOOKUP(D353,'11. Gestion Administrativa'!$F:$G,2,FALSE),IFERROR(VLOOKUP(D353,'13. Gestión Académica'!$F:$G,2,FALSE),IFERROR(VLOOKUP(D353,'9. Asegura. de la Calid. y M'!$F:$G,2,FALSE),IFERROR(VLOOKUP(D353,'6. Gestión del Conocimiento'!$F:$G,2,FALSE),IFERROR(VLOOKUP(D353,'15. Gobernabilidad y Proceso...'!$F:$G,2,FALSE),IFERROR(VLOOKUP(D353,'12. Gestión del Talento Humano'!$F:$G,2,FALSE),IFERROR(VLOOKUP(D353,'14. Internacional... de la E.S.'!$F:$G,2,FALSE),IFERROR(VLOOKUP(D353,'10. Posgrado'!$F:$G,2,FALSE),IFERROR(VLOOKUP(D353,'17. Gestión TIC'!$F:$G,2,FALSE),IFERROR(VLOOKUP(D353,'16. Desa. del Sistema Educ.Sup.'!$F:$G,2,FALSE),IFERROR(VLOOKUP(D353,'8. Cultura de Inno. Insti...'!$F:$G,2,FALSE),VLOOKUP(D353,'7. Lo Esencial de la Reforma U.'!$F:$G,2,0)))))))))))))))))</f>
        <v xml:space="preserve">Jornada de intercambio de conocimiento de especialistas en el area de informatica </v>
      </c>
      <c r="D354" s="31"/>
      <c r="E354" s="93"/>
      <c r="F354" s="93"/>
      <c r="G354" s="93"/>
      <c r="H354" s="76"/>
      <c r="I354" s="76"/>
      <c r="J354" s="76"/>
      <c r="K354" s="112"/>
    </row>
    <row r="355" spans="3:11" ht="15.75" thickBot="1" x14ac:dyDescent="0.3">
      <c r="F355" s="93"/>
      <c r="G355" s="76"/>
      <c r="H355" s="76"/>
      <c r="I355" s="76"/>
    </row>
    <row r="356" spans="3:11" ht="30.75" thickBot="1" x14ac:dyDescent="0.3">
      <c r="C356" s="129" t="s">
        <v>44</v>
      </c>
      <c r="D356" s="129" t="s">
        <v>55</v>
      </c>
      <c r="E356" s="136" t="s">
        <v>57</v>
      </c>
      <c r="F356" s="135" t="s">
        <v>27</v>
      </c>
      <c r="G356" s="133" t="s">
        <v>130</v>
      </c>
      <c r="H356" s="136" t="s">
        <v>46</v>
      </c>
      <c r="I356" s="133" t="s">
        <v>131</v>
      </c>
      <c r="J356" s="133" t="s">
        <v>409</v>
      </c>
      <c r="K356" s="133" t="s">
        <v>410</v>
      </c>
    </row>
    <row r="357" spans="3:11" x14ac:dyDescent="0.25">
      <c r="C357" s="220" t="s">
        <v>438</v>
      </c>
      <c r="D357" s="221"/>
      <c r="E357" s="219">
        <f>HLOOKUP(C357,$AH$2:$BU$3,2,0)</f>
        <v>620</v>
      </c>
      <c r="F357" s="97">
        <f t="shared" ref="F357:F360" si="29">D357*E357</f>
        <v>0</v>
      </c>
      <c r="G357" s="161"/>
      <c r="H357" s="142"/>
      <c r="I357" s="130" t="e">
        <f>VLOOKUP(H357,Presupuesto!$B$11:$C$565,2,0)</f>
        <v>#N/A</v>
      </c>
      <c r="J357" s="218" t="s">
        <v>1363</v>
      </c>
      <c r="K357" s="98" t="s">
        <v>393</v>
      </c>
    </row>
    <row r="358" spans="3:11" x14ac:dyDescent="0.25">
      <c r="C358" s="141" t="s">
        <v>2195</v>
      </c>
      <c r="D358" s="158">
        <v>330</v>
      </c>
      <c r="E358" s="123">
        <v>10</v>
      </c>
      <c r="F358" s="97">
        <f t="shared" si="29"/>
        <v>3300</v>
      </c>
      <c r="G358" s="161" t="s">
        <v>128</v>
      </c>
      <c r="H358" s="142" t="s">
        <v>716</v>
      </c>
      <c r="I358" s="130" t="str">
        <f>VLOOKUP(H358,Presupuesto!$B$11:$C$565,2,0)</f>
        <v>SERVICIOS DE IMPRENTA PUBLIC.Y REPRODUCCION</v>
      </c>
      <c r="J358" s="98" t="str">
        <f>$J$357</f>
        <v>Gestión Administrativa y  financiera en apoyo al Desarrollo Académico</v>
      </c>
      <c r="K358" s="98" t="s">
        <v>411</v>
      </c>
    </row>
    <row r="359" spans="3:11" x14ac:dyDescent="0.25">
      <c r="C359" s="141" t="s">
        <v>2196</v>
      </c>
      <c r="D359" s="158">
        <v>6</v>
      </c>
      <c r="E359" s="123">
        <v>200</v>
      </c>
      <c r="F359" s="97">
        <f t="shared" si="29"/>
        <v>1200</v>
      </c>
      <c r="G359" s="161" t="s">
        <v>128</v>
      </c>
      <c r="H359" s="142" t="s">
        <v>660</v>
      </c>
      <c r="I359" s="130" t="str">
        <f>VLOOKUP(H359,Presupuesto!$B$11:$C$565,2,0)</f>
        <v>OTROS ALQUILERES</v>
      </c>
      <c r="J359" s="98" t="str">
        <f t="shared" ref="J359:J360" si="30">$J$357</f>
        <v>Gestión Administrativa y  financiera en apoyo al Desarrollo Académico</v>
      </c>
      <c r="K359" s="98" t="s">
        <v>411</v>
      </c>
    </row>
    <row r="360" spans="3:11" x14ac:dyDescent="0.25">
      <c r="C360" s="141" t="s">
        <v>2197</v>
      </c>
      <c r="D360" s="158">
        <v>1</v>
      </c>
      <c r="E360" s="123">
        <v>2000</v>
      </c>
      <c r="F360" s="97">
        <f t="shared" si="29"/>
        <v>2000</v>
      </c>
      <c r="G360" s="161" t="s">
        <v>128</v>
      </c>
      <c r="H360" s="142" t="s">
        <v>660</v>
      </c>
      <c r="I360" s="130" t="str">
        <f>VLOOKUP(H360,Presupuesto!$B$11:$C$565,2,0)</f>
        <v>OTROS ALQUILERES</v>
      </c>
      <c r="J360" s="98" t="str">
        <f t="shared" si="30"/>
        <v>Gestión Administrativa y  financiera en apoyo al Desarrollo Académico</v>
      </c>
      <c r="K360" s="98" t="s">
        <v>411</v>
      </c>
    </row>
    <row r="362" spans="3:11" ht="15.75" thickBot="1" x14ac:dyDescent="0.3">
      <c r="F362" s="90"/>
      <c r="G362" s="89"/>
      <c r="H362" s="90"/>
      <c r="I362" s="90"/>
    </row>
    <row r="363" spans="3:11" ht="15.75" thickBot="1" x14ac:dyDescent="0.3">
      <c r="C363" s="157" t="s">
        <v>53</v>
      </c>
      <c r="D363" s="372">
        <f>SUM(F370:F381)</f>
        <v>345000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8" t="s">
        <v>2221</v>
      </c>
      <c r="E366" s="93"/>
      <c r="F366" s="93"/>
      <c r="G366" s="93"/>
      <c r="H366" s="76"/>
      <c r="I366" s="76"/>
      <c r="J366" s="76"/>
      <c r="K366" s="112"/>
    </row>
    <row r="367" spans="3:11" ht="18.75" x14ac:dyDescent="0.25">
      <c r="C367" s="795" t="str">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 xml:space="preserve">Gestionar la adquisicion de un servidor, rack, cableado UTP, router y un switch para diferentes clases </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381" si="31">D370*E370</f>
        <v>0</v>
      </c>
      <c r="G370" s="161"/>
      <c r="H370" s="142"/>
      <c r="I370" s="130" t="e">
        <f>VLOOKUP(H370,Presupuesto!$B$11:$C$565,2,0)</f>
        <v>#N/A</v>
      </c>
      <c r="J370" s="218" t="s">
        <v>1363</v>
      </c>
      <c r="K370" s="98" t="s">
        <v>393</v>
      </c>
    </row>
    <row r="371" spans="3:11" x14ac:dyDescent="0.25">
      <c r="C371" s="141" t="s">
        <v>2209</v>
      </c>
      <c r="D371" s="158">
        <v>2</v>
      </c>
      <c r="E371" s="123">
        <v>5000</v>
      </c>
      <c r="F371" s="97">
        <f t="shared" si="31"/>
        <v>10000</v>
      </c>
      <c r="G371" s="161" t="s">
        <v>1691</v>
      </c>
      <c r="H371" s="142" t="s">
        <v>1013</v>
      </c>
      <c r="I371" s="130" t="str">
        <f>VLOOKUP(H371,Presupuesto!$B$11:$C$565,2,0)</f>
        <v>EQUIPO DE COMPUTACION</v>
      </c>
      <c r="J371" s="98" t="str">
        <f>$J$370</f>
        <v>Gestión Administrativa y  financiera en apoyo al Desarrollo Académico</v>
      </c>
      <c r="K371" s="98" t="s">
        <v>411</v>
      </c>
    </row>
    <row r="372" spans="3:11" x14ac:dyDescent="0.25">
      <c r="C372" s="141" t="s">
        <v>2210</v>
      </c>
      <c r="D372" s="158">
        <v>2</v>
      </c>
      <c r="E372" s="123">
        <v>3000</v>
      </c>
      <c r="F372" s="97">
        <f t="shared" si="31"/>
        <v>6000</v>
      </c>
      <c r="G372" s="161" t="s">
        <v>1691</v>
      </c>
      <c r="H372" s="142" t="s">
        <v>1013</v>
      </c>
      <c r="I372" s="130" t="str">
        <f>VLOOKUP(H372,Presupuesto!$B$11:$C$565,2,0)</f>
        <v>EQUIPO DE COMPUTACION</v>
      </c>
      <c r="J372" s="98" t="str">
        <f t="shared" ref="J372:J381" si="32">$J$370</f>
        <v>Gestión Administrativa y  financiera en apoyo al Desarrollo Académico</v>
      </c>
      <c r="K372" s="98" t="s">
        <v>411</v>
      </c>
    </row>
    <row r="373" spans="3:11" x14ac:dyDescent="0.25">
      <c r="C373" s="141" t="s">
        <v>2211</v>
      </c>
      <c r="D373" s="158">
        <v>3</v>
      </c>
      <c r="E373" s="123">
        <v>30000</v>
      </c>
      <c r="F373" s="97">
        <f t="shared" si="31"/>
        <v>90000</v>
      </c>
      <c r="G373" s="161" t="s">
        <v>1691</v>
      </c>
      <c r="H373" s="142" t="s">
        <v>1013</v>
      </c>
      <c r="I373" s="130" t="str">
        <f>VLOOKUP(H373,Presupuesto!$B$11:$C$565,2,0)</f>
        <v>EQUIPO DE COMPUTACION</v>
      </c>
      <c r="J373" s="98" t="str">
        <f t="shared" si="32"/>
        <v>Gestión Administrativa y  financiera en apoyo al Desarrollo Académico</v>
      </c>
      <c r="K373" s="98" t="s">
        <v>411</v>
      </c>
    </row>
    <row r="374" spans="3:11" x14ac:dyDescent="0.25">
      <c r="C374" s="141" t="s">
        <v>2212</v>
      </c>
      <c r="D374" s="158">
        <v>2</v>
      </c>
      <c r="E374" s="123">
        <v>20000</v>
      </c>
      <c r="F374" s="97">
        <f t="shared" si="31"/>
        <v>40000</v>
      </c>
      <c r="G374" s="161" t="s">
        <v>1691</v>
      </c>
      <c r="H374" s="142" t="s">
        <v>1013</v>
      </c>
      <c r="I374" s="130" t="str">
        <f>VLOOKUP(H374,Presupuesto!$B$11:$C$565,2,0)</f>
        <v>EQUIPO DE COMPUTACION</v>
      </c>
      <c r="J374" s="98" t="str">
        <f t="shared" si="32"/>
        <v>Gestión Administrativa y  financiera en apoyo al Desarrollo Académico</v>
      </c>
      <c r="K374" s="98" t="s">
        <v>411</v>
      </c>
    </row>
    <row r="375" spans="3:11" x14ac:dyDescent="0.25">
      <c r="C375" s="141" t="s">
        <v>2213</v>
      </c>
      <c r="D375" s="158">
        <v>2</v>
      </c>
      <c r="E375" s="123">
        <v>30000</v>
      </c>
      <c r="F375" s="97">
        <f t="shared" si="31"/>
        <v>60000</v>
      </c>
      <c r="G375" s="161" t="s">
        <v>1691</v>
      </c>
      <c r="H375" s="142" t="s">
        <v>1013</v>
      </c>
      <c r="I375" s="130" t="str">
        <f>VLOOKUP(H375,Presupuesto!$B$11:$C$565,2,0)</f>
        <v>EQUIPO DE COMPUTACION</v>
      </c>
      <c r="J375" s="98" t="str">
        <f t="shared" si="32"/>
        <v>Gestión Administrativa y  financiera en apoyo al Desarrollo Académico</v>
      </c>
      <c r="K375" s="98" t="s">
        <v>400</v>
      </c>
    </row>
    <row r="376" spans="3:11" x14ac:dyDescent="0.25">
      <c r="C376" s="141" t="s">
        <v>2214</v>
      </c>
      <c r="D376" s="158">
        <v>5</v>
      </c>
      <c r="E376" s="123">
        <v>5000</v>
      </c>
      <c r="F376" s="97">
        <f t="shared" si="31"/>
        <v>25000</v>
      </c>
      <c r="G376" s="161" t="s">
        <v>128</v>
      </c>
      <c r="H376" s="142" t="s">
        <v>1013</v>
      </c>
      <c r="I376" s="130" t="str">
        <f>VLOOKUP(H376,Presupuesto!$B$11:$C$565,2,0)</f>
        <v>EQUIPO DE COMPUTACION</v>
      </c>
      <c r="J376" s="98" t="str">
        <f t="shared" si="32"/>
        <v>Gestión Administrativa y  financiera en apoyo al Desarrollo Académico</v>
      </c>
      <c r="K376" s="98" t="s">
        <v>411</v>
      </c>
    </row>
    <row r="377" spans="3:11" x14ac:dyDescent="0.25">
      <c r="C377" s="141" t="s">
        <v>2215</v>
      </c>
      <c r="D377" s="158">
        <v>1000</v>
      </c>
      <c r="E377" s="123">
        <v>4</v>
      </c>
      <c r="F377" s="97">
        <f t="shared" si="31"/>
        <v>4000</v>
      </c>
      <c r="G377" s="161" t="s">
        <v>128</v>
      </c>
      <c r="H377" s="142" t="s">
        <v>1013</v>
      </c>
      <c r="I377" s="130" t="str">
        <f>VLOOKUP(H377,Presupuesto!$B$11:$C$565,2,0)</f>
        <v>EQUIPO DE COMPUTACION</v>
      </c>
      <c r="J377" s="98" t="str">
        <f t="shared" si="32"/>
        <v>Gestión Administrativa y  financiera en apoyo al Desarrollo Académico</v>
      </c>
      <c r="K377" s="98" t="s">
        <v>411</v>
      </c>
    </row>
    <row r="378" spans="3:11" x14ac:dyDescent="0.25">
      <c r="C378" s="141" t="s">
        <v>2216</v>
      </c>
      <c r="D378" s="158">
        <v>5</v>
      </c>
      <c r="E378" s="123">
        <v>5000</v>
      </c>
      <c r="F378" s="97">
        <f t="shared" si="31"/>
        <v>25000</v>
      </c>
      <c r="G378" s="161" t="s">
        <v>1691</v>
      </c>
      <c r="H378" s="142" t="s">
        <v>1013</v>
      </c>
      <c r="I378" s="130" t="str">
        <f>VLOOKUP(H378,Presupuesto!$B$11:$C$565,2,0)</f>
        <v>EQUIPO DE COMPUTACION</v>
      </c>
      <c r="J378" s="98" t="str">
        <f t="shared" si="32"/>
        <v>Gestión Administrativa y  financiera en apoyo al Desarrollo Académico</v>
      </c>
      <c r="K378" s="98" t="s">
        <v>411</v>
      </c>
    </row>
    <row r="379" spans="3:11" x14ac:dyDescent="0.25">
      <c r="C379" s="141" t="s">
        <v>2217</v>
      </c>
      <c r="D379" s="158">
        <v>1</v>
      </c>
      <c r="E379" s="123">
        <v>5000</v>
      </c>
      <c r="F379" s="97">
        <f t="shared" si="31"/>
        <v>5000</v>
      </c>
      <c r="G379" s="161" t="s">
        <v>1691</v>
      </c>
      <c r="H379" s="142" t="s">
        <v>1013</v>
      </c>
      <c r="I379" s="130" t="str">
        <f>VLOOKUP(H379,Presupuesto!$B$11:$C$565,2,0)</f>
        <v>EQUIPO DE COMPUTACION</v>
      </c>
      <c r="J379" s="98" t="str">
        <f t="shared" si="32"/>
        <v>Gestión Administrativa y  financiera en apoyo al Desarrollo Académico</v>
      </c>
      <c r="K379" s="98" t="s">
        <v>411</v>
      </c>
    </row>
    <row r="380" spans="3:11" x14ac:dyDescent="0.25">
      <c r="C380" s="141" t="s">
        <v>2218</v>
      </c>
      <c r="D380" s="158">
        <v>1</v>
      </c>
      <c r="E380" s="123">
        <v>20000</v>
      </c>
      <c r="F380" s="97">
        <f t="shared" si="31"/>
        <v>20000</v>
      </c>
      <c r="G380" s="161" t="s">
        <v>1691</v>
      </c>
      <c r="H380" s="142" t="s">
        <v>1013</v>
      </c>
      <c r="I380" s="130" t="str">
        <f>VLOOKUP(H380,Presupuesto!$B$11:$C$565,2,0)</f>
        <v>EQUIPO DE COMPUTACION</v>
      </c>
      <c r="J380" s="98" t="str">
        <f t="shared" si="32"/>
        <v>Gestión Administrativa y  financiera en apoyo al Desarrollo Académico</v>
      </c>
      <c r="K380" s="98" t="s">
        <v>411</v>
      </c>
    </row>
    <row r="381" spans="3:11" x14ac:dyDescent="0.25">
      <c r="C381" s="141" t="s">
        <v>2219</v>
      </c>
      <c r="D381" s="158">
        <v>1</v>
      </c>
      <c r="E381" s="123">
        <v>60000</v>
      </c>
      <c r="F381" s="97">
        <f t="shared" si="31"/>
        <v>60000</v>
      </c>
      <c r="G381" s="161" t="s">
        <v>1691</v>
      </c>
      <c r="H381" s="142" t="s">
        <v>1013</v>
      </c>
      <c r="I381" s="130" t="str">
        <f>VLOOKUP(H381,Presupuesto!$B$11:$C$565,2,0)</f>
        <v>EQUIPO DE COMPUTACION</v>
      </c>
      <c r="J381" s="98" t="str">
        <f t="shared" si="32"/>
        <v>Gestión Administrativa y  financiera en apoyo al Desarrollo Académico</v>
      </c>
      <c r="K381" s="98" t="s">
        <v>411</v>
      </c>
    </row>
    <row r="383" spans="3:11" ht="15.75" thickBot="1" x14ac:dyDescent="0.3"/>
    <row r="384" spans="3:11" ht="15.75" thickBot="1" x14ac:dyDescent="0.3">
      <c r="C384" s="157" t="s">
        <v>53</v>
      </c>
      <c r="D384" s="372">
        <f>SUM(F391:F395)</f>
        <v>21475</v>
      </c>
      <c r="F384" s="70"/>
      <c r="G384" s="79"/>
      <c r="H384" s="70"/>
      <c r="I384" s="70"/>
    </row>
    <row r="385" spans="3:11" x14ac:dyDescent="0.25">
      <c r="C385" s="70"/>
      <c r="D385" s="31"/>
      <c r="E385" s="93"/>
      <c r="F385" s="93"/>
      <c r="G385" s="93"/>
      <c r="H385" s="76"/>
      <c r="I385" s="76"/>
      <c r="J385" s="76"/>
      <c r="K385" s="112"/>
    </row>
    <row r="386" spans="3:11" x14ac:dyDescent="0.25">
      <c r="C386" s="70"/>
      <c r="D386" s="31"/>
      <c r="E386" s="93"/>
      <c r="F386" s="93"/>
      <c r="G386" s="93"/>
      <c r="H386" s="76"/>
      <c r="I386" s="76"/>
      <c r="J386" s="76"/>
      <c r="K386" s="112"/>
    </row>
    <row r="387" spans="3:11" ht="15.75" x14ac:dyDescent="0.25">
      <c r="C387" s="202" t="s">
        <v>391</v>
      </c>
      <c r="D387" s="368" t="s">
        <v>2239</v>
      </c>
      <c r="E387" s="93"/>
      <c r="F387" s="93"/>
      <c r="G387" s="93"/>
      <c r="H387" s="76"/>
      <c r="I387" s="76"/>
      <c r="J387" s="76"/>
      <c r="K387" s="112"/>
    </row>
    <row r="388" spans="3:11" ht="18.75" x14ac:dyDescent="0.25">
      <c r="C388" s="210" t="str">
        <f>IFERROR(VLOOKUP(D387,'1. Desarrollo e Innov. Curricu.'!$F:$G,2,FALSE),IFERROR(VLOOKUP(D387,'2. Investigación Científica'!$F:$G,2,FALSE),IFERROR(VLOOKUP(D387,'3. Vinculación Univ. Sociedad'!$F:$G,2,FALSE),IFERROR(VLOOKUP(D387,'4. Docencia y Profesorado Univ.'!$F:$G,2,FALSE),IFERROR(VLOOKUP(D387,'5. Estudiantes y Graduados'!$F:$G,2,FALSE),IFERROR(VLOOKUP(D387,'11. Gestion Administrativa'!$F:$G,2,FALSE),IFERROR(VLOOKUP(D387,'13. Gestión Académica'!$F:$G,2,FALSE),IFERROR(VLOOKUP(D387,'9. Asegura. de la Calid. y M'!$F:$G,2,FALSE),IFERROR(VLOOKUP(D387,'6. Gestión del Conocimiento'!$F:$G,2,FALSE),IFERROR(VLOOKUP(D387,'15. Gobernabilidad y Proceso...'!$F:$G,2,FALSE),IFERROR(VLOOKUP(D387,'12. Gestión del Talento Humano'!$F:$G,2,FALSE),IFERROR(VLOOKUP(D387,'14. Internacional... de la E.S.'!$F:$G,2,FALSE),IFERROR(VLOOKUP(D387,'10. Posgrado'!$F:$G,2,FALSE),IFERROR(VLOOKUP(D387,'17. Gestión TIC'!$F:$G,2,FALSE),IFERROR(VLOOKUP(D387,'16. Desa. del Sistema Educ.Sup.'!$F:$G,2,FALSE),IFERROR(VLOOKUP(D387,'8. Cultura de Inno. Insti...'!$F:$G,2,FALSE),VLOOKUP(D387,'7. Lo Esencial de la Reforma U.'!$F:$G,2,0)))))))))))))))))</f>
        <v>Quinto Congreso regional de Ingenieria Agroindustrial</v>
      </c>
      <c r="D388" s="31"/>
      <c r="E388" s="93"/>
      <c r="F388" s="93"/>
      <c r="G388" s="93"/>
      <c r="H388" s="76"/>
      <c r="I388" s="76"/>
      <c r="J388" s="76"/>
      <c r="K388" s="112"/>
    </row>
    <row r="389" spans="3:11" ht="15.75" thickBot="1" x14ac:dyDescent="0.3">
      <c r="F389" s="93"/>
      <c r="G389" s="76"/>
      <c r="H389" s="76"/>
      <c r="I389" s="76"/>
    </row>
    <row r="390" spans="3:11" ht="30.75" thickBot="1" x14ac:dyDescent="0.3">
      <c r="C390" s="129" t="s">
        <v>44</v>
      </c>
      <c r="D390" s="129" t="s">
        <v>55</v>
      </c>
      <c r="E390" s="136" t="s">
        <v>57</v>
      </c>
      <c r="F390" s="135" t="s">
        <v>27</v>
      </c>
      <c r="G390" s="133" t="s">
        <v>130</v>
      </c>
      <c r="H390" s="136" t="s">
        <v>46</v>
      </c>
      <c r="I390" s="133" t="s">
        <v>131</v>
      </c>
      <c r="J390" s="133" t="s">
        <v>409</v>
      </c>
      <c r="K390" s="133" t="s">
        <v>410</v>
      </c>
    </row>
    <row r="391" spans="3:11" x14ac:dyDescent="0.25">
      <c r="C391" s="220" t="s">
        <v>429</v>
      </c>
      <c r="D391" s="221">
        <f>1.5*3</f>
        <v>4.5</v>
      </c>
      <c r="E391" s="219">
        <f>HLOOKUP(C391,$AH$2:$BU$3,2,0)</f>
        <v>1150</v>
      </c>
      <c r="F391" s="97">
        <f t="shared" ref="F391:F395" si="33">D391*E391</f>
        <v>5175</v>
      </c>
      <c r="G391" s="161" t="s">
        <v>128</v>
      </c>
      <c r="H391" s="142" t="s">
        <v>760</v>
      </c>
      <c r="I391" s="130" t="str">
        <f>VLOOKUP(H391,Presupuesto!$B$11:$C$565,2,0)</f>
        <v>VIATICOS NACIONALES</v>
      </c>
      <c r="J391" s="218" t="s">
        <v>1358</v>
      </c>
      <c r="K391" s="98" t="s">
        <v>393</v>
      </c>
    </row>
    <row r="392" spans="3:11" x14ac:dyDescent="0.25">
      <c r="C392" s="567" t="s">
        <v>2197</v>
      </c>
      <c r="D392" s="607">
        <v>1</v>
      </c>
      <c r="E392" s="608">
        <v>7000</v>
      </c>
      <c r="F392" s="97">
        <f t="shared" si="33"/>
        <v>7000</v>
      </c>
      <c r="G392" s="161" t="s">
        <v>128</v>
      </c>
      <c r="H392" s="142" t="s">
        <v>660</v>
      </c>
      <c r="I392" s="130" t="str">
        <f>VLOOKUP(H392,Presupuesto!$B$11:$C$565,2,0)</f>
        <v>OTROS ALQUILERES</v>
      </c>
      <c r="J392" s="98" t="str">
        <f>$J$391</f>
        <v>Investigación Científica</v>
      </c>
      <c r="K392" s="98" t="s">
        <v>411</v>
      </c>
    </row>
    <row r="393" spans="3:11" x14ac:dyDescent="0.25">
      <c r="C393" s="567" t="s">
        <v>2196</v>
      </c>
      <c r="D393" s="607">
        <v>3</v>
      </c>
      <c r="E393" s="608">
        <v>1500</v>
      </c>
      <c r="F393" s="97">
        <f t="shared" si="33"/>
        <v>4500</v>
      </c>
      <c r="G393" s="161" t="s">
        <v>128</v>
      </c>
      <c r="H393" s="142" t="s">
        <v>660</v>
      </c>
      <c r="I393" s="130" t="str">
        <f>VLOOKUP(H393,Presupuesto!$B$11:$C$565,2,0)</f>
        <v>OTROS ALQUILERES</v>
      </c>
      <c r="J393" s="98" t="str">
        <f t="shared" ref="J393:J395" si="34">$J$391</f>
        <v>Investigación Científica</v>
      </c>
      <c r="K393" s="98" t="s">
        <v>411</v>
      </c>
    </row>
    <row r="394" spans="3:11" x14ac:dyDescent="0.25">
      <c r="C394" s="567" t="s">
        <v>2154</v>
      </c>
      <c r="D394" s="607">
        <v>3</v>
      </c>
      <c r="E394" s="608">
        <v>1000</v>
      </c>
      <c r="F394" s="97">
        <f t="shared" si="33"/>
        <v>3000</v>
      </c>
      <c r="G394" s="161" t="s">
        <v>128</v>
      </c>
      <c r="H394" s="142" t="s">
        <v>870</v>
      </c>
      <c r="I394" s="130" t="str">
        <f>VLOOKUP(H394,Presupuesto!$B$11:$C$565,2,0)</f>
        <v>GASOLINA</v>
      </c>
      <c r="J394" s="98" t="str">
        <f t="shared" si="34"/>
        <v>Investigación Científica</v>
      </c>
      <c r="K394" s="98" t="s">
        <v>411</v>
      </c>
    </row>
    <row r="395" spans="3:11" x14ac:dyDescent="0.25">
      <c r="C395" s="567" t="s">
        <v>2195</v>
      </c>
      <c r="D395" s="607">
        <v>120</v>
      </c>
      <c r="E395" s="608">
        <v>15</v>
      </c>
      <c r="F395" s="97">
        <f t="shared" si="33"/>
        <v>1800</v>
      </c>
      <c r="G395" s="161" t="s">
        <v>128</v>
      </c>
      <c r="H395" s="98" t="s">
        <v>716</v>
      </c>
      <c r="I395" s="130" t="str">
        <f>VLOOKUP(H395,Presupuesto!$B$11:$C$565,2,0)</f>
        <v>SERVICIOS DE IMPRENTA PUBLIC.Y REPRODUCCION</v>
      </c>
      <c r="J395" s="98" t="str">
        <f t="shared" si="34"/>
        <v>Investigación Científica</v>
      </c>
      <c r="K395" s="98" t="s">
        <v>411</v>
      </c>
    </row>
    <row r="397" spans="3:11" ht="15.75" thickBot="1" x14ac:dyDescent="0.3">
      <c r="F397" s="90"/>
      <c r="G397" s="89"/>
      <c r="H397" s="90"/>
      <c r="I397" s="90"/>
    </row>
    <row r="398" spans="3:11" ht="15.75" thickBot="1" x14ac:dyDescent="0.3">
      <c r="C398" s="157" t="s">
        <v>53</v>
      </c>
      <c r="D398" s="372">
        <f>SUM(F405:F406)</f>
        <v>2600</v>
      </c>
      <c r="F398" s="70"/>
      <c r="G398" s="79"/>
      <c r="H398" s="70"/>
      <c r="I398" s="70"/>
    </row>
    <row r="399" spans="3:11" x14ac:dyDescent="0.25">
      <c r="C399" s="70"/>
      <c r="D399" s="31"/>
      <c r="E399" s="93"/>
      <c r="F399" s="93"/>
      <c r="G399" s="93"/>
      <c r="H399" s="76"/>
      <c r="I399" s="76"/>
      <c r="J399" s="76"/>
      <c r="K399" s="112"/>
    </row>
    <row r="400" spans="3:11" x14ac:dyDescent="0.25">
      <c r="C400" s="70"/>
      <c r="D400" s="31"/>
      <c r="E400" s="93"/>
      <c r="F400" s="93"/>
      <c r="G400" s="93"/>
      <c r="H400" s="76"/>
      <c r="I400" s="76"/>
      <c r="J400" s="76"/>
      <c r="K400" s="112"/>
    </row>
    <row r="401" spans="3:11" ht="15.75" x14ac:dyDescent="0.25">
      <c r="C401" s="202" t="s">
        <v>391</v>
      </c>
      <c r="D401" s="368" t="s">
        <v>2249</v>
      </c>
      <c r="E401" s="93"/>
      <c r="F401" s="93"/>
      <c r="G401" s="93"/>
      <c r="H401" s="76"/>
      <c r="I401" s="76"/>
      <c r="J401" s="76"/>
      <c r="K401" s="112"/>
    </row>
    <row r="402" spans="3:11" ht="18.75" x14ac:dyDescent="0.25">
      <c r="C402" s="210" t="str">
        <f>IFERROR(VLOOKUP(D401,'1. Desarrollo e Innov. Curricu.'!$F:$G,2,FALSE),IFERROR(VLOOKUP(D401,'2. Investigación Científica'!$F:$G,2,FALSE),IFERROR(VLOOKUP(D401,'3. Vinculación Univ. Sociedad'!$F:$G,2,FALSE),IFERROR(VLOOKUP(D401,'4. Docencia y Profesorado Univ.'!$F:$G,2,FALSE),IFERROR(VLOOKUP(D401,'5. Estudiantes y Graduados'!$F:$G,2,FALSE),IFERROR(VLOOKUP(D401,'11. Gestion Administrativa'!$F:$G,2,FALSE),IFERROR(VLOOKUP(D401,'13. Gestión Académica'!$F:$G,2,FALSE),IFERROR(VLOOKUP(D401,'9. Asegura. de la Calid. y M'!$F:$G,2,FALSE),IFERROR(VLOOKUP(D401,'6. Gestión del Conocimiento'!$F:$G,2,FALSE),IFERROR(VLOOKUP(D401,'15. Gobernabilidad y Proceso...'!$F:$G,2,FALSE),IFERROR(VLOOKUP(D401,'12. Gestión del Talento Humano'!$F:$G,2,FALSE),IFERROR(VLOOKUP(D401,'14. Internacional... de la E.S.'!$F:$G,2,FALSE),IFERROR(VLOOKUP(D401,'10. Posgrado'!$F:$G,2,FALSE),IFERROR(VLOOKUP(D401,'17. Gestión TIC'!$F:$G,2,FALSE),IFERROR(VLOOKUP(D401,'16. Desa. del Sistema Educ.Sup.'!$F:$G,2,FALSE),IFERROR(VLOOKUP(D401,'8. Cultura de Inno. Insti...'!$F:$G,2,FALSE),VLOOKUP(D401,'7. Lo Esencial de la Reforma U.'!$F:$G,2,0)))))))))))))))))</f>
        <v xml:space="preserve">participación  como ponentes Nacionales al congreso nacional de Investigacion cientifica UNAH con al menos dos ponencias. </v>
      </c>
      <c r="D402" s="31"/>
      <c r="E402" s="93"/>
      <c r="F402" s="93"/>
      <c r="G402" s="93"/>
      <c r="H402" s="76"/>
      <c r="I402" s="76"/>
      <c r="J402" s="76"/>
      <c r="K402" s="112"/>
    </row>
    <row r="403" spans="3:11" ht="15.75" thickBot="1" x14ac:dyDescent="0.3">
      <c r="F403" s="93"/>
      <c r="G403" s="76"/>
      <c r="H403" s="76"/>
      <c r="I403" s="76"/>
    </row>
    <row r="404" spans="3:11" ht="30.75" thickBot="1" x14ac:dyDescent="0.3">
      <c r="C404" s="129" t="s">
        <v>44</v>
      </c>
      <c r="D404" s="129" t="s">
        <v>55</v>
      </c>
      <c r="E404" s="136" t="s">
        <v>57</v>
      </c>
      <c r="F404" s="135" t="s">
        <v>27</v>
      </c>
      <c r="G404" s="133" t="s">
        <v>130</v>
      </c>
      <c r="H404" s="136" t="s">
        <v>46</v>
      </c>
      <c r="I404" s="133" t="s">
        <v>131</v>
      </c>
      <c r="J404" s="133" t="s">
        <v>409</v>
      </c>
      <c r="K404" s="133" t="s">
        <v>410</v>
      </c>
    </row>
    <row r="405" spans="3:11" x14ac:dyDescent="0.25">
      <c r="C405" s="220" t="s">
        <v>427</v>
      </c>
      <c r="D405" s="221">
        <f>0.5*2</f>
        <v>1</v>
      </c>
      <c r="E405" s="219">
        <f>HLOOKUP(C405,$AH$2:$BU$3,2,0)</f>
        <v>2000</v>
      </c>
      <c r="F405" s="97">
        <f t="shared" ref="F405:F406" si="35">D405*E405</f>
        <v>2000</v>
      </c>
      <c r="G405" s="161" t="s">
        <v>128</v>
      </c>
      <c r="H405" s="142" t="s">
        <v>760</v>
      </c>
      <c r="I405" s="130" t="str">
        <f>VLOOKUP(H405,Presupuesto!$B$11:$C$565,2,0)</f>
        <v>VIATICOS NACIONALES</v>
      </c>
      <c r="J405" s="218" t="s">
        <v>1358</v>
      </c>
      <c r="K405" s="98" t="s">
        <v>393</v>
      </c>
    </row>
    <row r="406" spans="3:11" x14ac:dyDescent="0.25">
      <c r="C406" s="141" t="s">
        <v>1712</v>
      </c>
      <c r="D406" s="158">
        <v>1</v>
      </c>
      <c r="E406" s="123">
        <v>600</v>
      </c>
      <c r="F406" s="97">
        <f t="shared" si="35"/>
        <v>600</v>
      </c>
      <c r="G406" s="161" t="s">
        <v>128</v>
      </c>
      <c r="H406" s="142" t="s">
        <v>870</v>
      </c>
      <c r="I406" s="130" t="str">
        <f>VLOOKUP(H406,Presupuesto!$B$11:$C$565,2,0)</f>
        <v>GASOLINA</v>
      </c>
      <c r="J406" s="98" t="str">
        <f>$J$405</f>
        <v>Investigación Científica</v>
      </c>
      <c r="K406" s="98" t="s">
        <v>411</v>
      </c>
    </row>
    <row r="408" spans="3:11" ht="15.75" thickBot="1" x14ac:dyDescent="0.3"/>
    <row r="409" spans="3:11" ht="15.75" thickBot="1" x14ac:dyDescent="0.3">
      <c r="C409" s="157" t="s">
        <v>53</v>
      </c>
      <c r="D409" s="372">
        <f>SUM(F416:F420)</f>
        <v>12300</v>
      </c>
      <c r="F409" s="70"/>
      <c r="G409" s="79"/>
      <c r="H409" s="70"/>
      <c r="I409" s="70"/>
    </row>
    <row r="410" spans="3:11" x14ac:dyDescent="0.25">
      <c r="C410" s="70"/>
      <c r="D410" s="31"/>
      <c r="E410" s="93"/>
      <c r="F410" s="93"/>
      <c r="G410" s="93"/>
      <c r="H410" s="76"/>
      <c r="I410" s="76"/>
      <c r="J410" s="76"/>
      <c r="K410" s="112"/>
    </row>
    <row r="411" spans="3:11" x14ac:dyDescent="0.25">
      <c r="C411" s="70"/>
      <c r="D411" s="31"/>
      <c r="E411" s="93"/>
      <c r="F411" s="93"/>
      <c r="G411" s="93"/>
      <c r="H411" s="76"/>
      <c r="I411" s="76"/>
      <c r="J411" s="76"/>
      <c r="K411" s="112"/>
    </row>
    <row r="412" spans="3:11" ht="15.75" x14ac:dyDescent="0.25">
      <c r="C412" s="202" t="s">
        <v>391</v>
      </c>
      <c r="D412" s="368" t="s">
        <v>2287</v>
      </c>
      <c r="E412" s="93"/>
      <c r="F412" s="93"/>
      <c r="G412" s="93"/>
      <c r="H412" s="76"/>
      <c r="I412" s="76"/>
      <c r="J412" s="76"/>
      <c r="K412" s="112"/>
    </row>
    <row r="413" spans="3:11" ht="18.75" x14ac:dyDescent="0.25">
      <c r="C413" s="210" t="str">
        <f>IFERROR(VLOOKUP(D412,'1. Desarrollo e Innov. Curricu.'!$F:$G,2,FALSE),IFERROR(VLOOKUP(D412,'2. Investigación Científica'!$F:$G,2,FALSE),IFERROR(VLOOKUP(D412,'3. Vinculación Univ. Sociedad'!$F:$G,2,FALSE),IFERROR(VLOOKUP(D412,'4. Docencia y Profesorado Univ.'!$F:$G,2,FALSE),IFERROR(VLOOKUP(D412,'5. Estudiantes y Graduados'!$F:$G,2,FALSE),IFERROR(VLOOKUP(D412,'11. Gestion Administrativa'!$F:$G,2,FALSE),IFERROR(VLOOKUP(D412,'13. Gestión Académica'!$F:$G,2,FALSE),IFERROR(VLOOKUP(D412,'9. Asegura. de la Calid. y M'!$F:$G,2,FALSE),IFERROR(VLOOKUP(D412,'6. Gestión del Conocimiento'!$F:$G,2,FALSE),IFERROR(VLOOKUP(D412,'15. Gobernabilidad y Proceso...'!$F:$G,2,FALSE),IFERROR(VLOOKUP(D412,'12. Gestión del Talento Humano'!$F:$G,2,FALSE),IFERROR(VLOOKUP(D412,'14. Internacional... de la E.S.'!$F:$G,2,FALSE),IFERROR(VLOOKUP(D412,'10. Posgrado'!$F:$G,2,FALSE),IFERROR(VLOOKUP(D412,'17. Gestión TIC'!$F:$G,2,FALSE),IFERROR(VLOOKUP(D412,'16. Desa. del Sistema Educ.Sup.'!$F:$G,2,FALSE),IFERROR(VLOOKUP(D412,'8. Cultura de Inno. Insti...'!$F:$G,2,FALSE),VLOOKUP(D412,'7. Lo Esencial de la Reforma U.'!$F:$G,2,0)))))))))))))))))</f>
        <v>cuarta expoventa agroindustrial 2017, participacion del equipo docente de agroindustria, venta de productos, expocisiones, gastronomia regional.</v>
      </c>
      <c r="D413" s="31"/>
      <c r="E413" s="93"/>
      <c r="F413" s="93"/>
      <c r="G413" s="93"/>
      <c r="H413" s="76"/>
      <c r="I413" s="76"/>
      <c r="J413" s="76"/>
      <c r="K413" s="112"/>
    </row>
    <row r="414" spans="3:11" ht="15.75" thickBot="1" x14ac:dyDescent="0.3">
      <c r="F414" s="93"/>
      <c r="G414" s="76"/>
      <c r="H414" s="76"/>
      <c r="I414" s="76"/>
    </row>
    <row r="415" spans="3:11" ht="30.75" thickBot="1" x14ac:dyDescent="0.3">
      <c r="C415" s="129" t="s">
        <v>44</v>
      </c>
      <c r="D415" s="129" t="s">
        <v>55</v>
      </c>
      <c r="E415" s="136" t="s">
        <v>57</v>
      </c>
      <c r="F415" s="135" t="s">
        <v>27</v>
      </c>
      <c r="G415" s="133" t="s">
        <v>130</v>
      </c>
      <c r="H415" s="136" t="s">
        <v>46</v>
      </c>
      <c r="I415" s="133" t="s">
        <v>131</v>
      </c>
      <c r="J415" s="133" t="s">
        <v>409</v>
      </c>
      <c r="K415" s="133" t="s">
        <v>410</v>
      </c>
    </row>
    <row r="416" spans="3:11" x14ac:dyDescent="0.25">
      <c r="C416" s="220" t="s">
        <v>438</v>
      </c>
      <c r="D416" s="221"/>
      <c r="E416" s="219">
        <f>HLOOKUP(C416,$AH$2:$BU$3,2,0)</f>
        <v>620</v>
      </c>
      <c r="F416" s="97">
        <f t="shared" ref="F416:F420" si="36">D416*E416</f>
        <v>0</v>
      </c>
      <c r="G416" s="161"/>
      <c r="H416" s="142"/>
      <c r="I416" s="130" t="e">
        <f>VLOOKUP(H416,Presupuesto!$B$11:$C$565,2,0)</f>
        <v>#N/A</v>
      </c>
      <c r="J416" s="218" t="s">
        <v>470</v>
      </c>
      <c r="K416" s="98" t="s">
        <v>393</v>
      </c>
    </row>
    <row r="417" spans="3:11" x14ac:dyDescent="0.25">
      <c r="C417" s="567" t="s">
        <v>2196</v>
      </c>
      <c r="D417" s="607">
        <v>1</v>
      </c>
      <c r="E417" s="608">
        <v>1800</v>
      </c>
      <c r="F417" s="97">
        <f t="shared" si="36"/>
        <v>1800</v>
      </c>
      <c r="G417" s="161" t="s">
        <v>128</v>
      </c>
      <c r="H417" s="142" t="s">
        <v>660</v>
      </c>
      <c r="I417" s="130" t="str">
        <f>VLOOKUP(H417,Presupuesto!$B$11:$C$565,2,0)</f>
        <v>OTROS ALQUILERES</v>
      </c>
      <c r="J417" s="98" t="str">
        <f>$J$416</f>
        <v>Vinculación Universidad-Sociedad</v>
      </c>
      <c r="K417" s="98" t="s">
        <v>411</v>
      </c>
    </row>
    <row r="418" spans="3:11" x14ac:dyDescent="0.25">
      <c r="C418" s="567" t="s">
        <v>2197</v>
      </c>
      <c r="D418" s="607">
        <v>1</v>
      </c>
      <c r="E418" s="608">
        <v>6000</v>
      </c>
      <c r="F418" s="97">
        <f t="shared" si="36"/>
        <v>6000</v>
      </c>
      <c r="G418" s="161" t="s">
        <v>128</v>
      </c>
      <c r="H418" s="142" t="s">
        <v>660</v>
      </c>
      <c r="I418" s="130" t="str">
        <f>VLOOKUP(H418,Presupuesto!$B$11:$C$565,2,0)</f>
        <v>OTROS ALQUILERES</v>
      </c>
      <c r="J418" s="98" t="str">
        <f t="shared" ref="J418:J420" si="37">$J$416</f>
        <v>Vinculación Universidad-Sociedad</v>
      </c>
      <c r="K418" s="98" t="s">
        <v>411</v>
      </c>
    </row>
    <row r="419" spans="3:11" x14ac:dyDescent="0.25">
      <c r="C419" s="567" t="s">
        <v>2291</v>
      </c>
      <c r="D419" s="607">
        <v>50</v>
      </c>
      <c r="E419" s="608">
        <v>30</v>
      </c>
      <c r="F419" s="97">
        <f t="shared" si="36"/>
        <v>1500</v>
      </c>
      <c r="G419" s="161" t="s">
        <v>128</v>
      </c>
      <c r="H419" s="98" t="s">
        <v>791</v>
      </c>
      <c r="I419" s="130" t="str">
        <f>VLOOKUP(H419,Presupuesto!$B$11:$C$565,2,0)</f>
        <v>ALIMENTOS B EBIDAS PARA PERSONAS</v>
      </c>
      <c r="J419" s="98" t="str">
        <f t="shared" si="37"/>
        <v>Vinculación Universidad-Sociedad</v>
      </c>
      <c r="K419" s="98" t="s">
        <v>411</v>
      </c>
    </row>
    <row r="420" spans="3:11" x14ac:dyDescent="0.25">
      <c r="C420" s="567" t="s">
        <v>2154</v>
      </c>
      <c r="D420" s="607">
        <v>1</v>
      </c>
      <c r="E420" s="608">
        <v>3000</v>
      </c>
      <c r="F420" s="97">
        <f t="shared" si="36"/>
        <v>3000</v>
      </c>
      <c r="G420" s="161" t="s">
        <v>128</v>
      </c>
      <c r="H420" s="142" t="s">
        <v>870</v>
      </c>
      <c r="I420" s="130" t="str">
        <f>VLOOKUP(H420,Presupuesto!$B$11:$C$565,2,0)</f>
        <v>GASOLINA</v>
      </c>
      <c r="J420" s="98" t="str">
        <f t="shared" si="37"/>
        <v>Vinculación Universidad-Sociedad</v>
      </c>
      <c r="K420" s="98" t="s">
        <v>411</v>
      </c>
    </row>
    <row r="422" spans="3:11" ht="15.75" thickBot="1" x14ac:dyDescent="0.3">
      <c r="F422" s="90"/>
      <c r="G422" s="89"/>
      <c r="H422" s="90"/>
      <c r="I422" s="90"/>
    </row>
    <row r="423" spans="3:11" ht="15.75" thickBot="1" x14ac:dyDescent="0.3">
      <c r="C423" s="157" t="s">
        <v>53</v>
      </c>
      <c r="D423" s="372">
        <f>SUM(F430:F431)</f>
        <v>0</v>
      </c>
      <c r="F423" s="70"/>
      <c r="G423" s="79"/>
      <c r="H423" s="70"/>
      <c r="I423" s="70"/>
    </row>
    <row r="424" spans="3:11" x14ac:dyDescent="0.25">
      <c r="C424" s="70"/>
      <c r="D424" s="31"/>
      <c r="E424" s="93"/>
      <c r="F424" s="93"/>
      <c r="G424" s="93"/>
      <c r="H424" s="76"/>
      <c r="I424" s="76"/>
      <c r="J424" s="76"/>
      <c r="K424" s="112"/>
    </row>
    <row r="425" spans="3:11" x14ac:dyDescent="0.25">
      <c r="C425" s="70"/>
      <c r="D425" s="31"/>
      <c r="E425" s="93"/>
      <c r="F425" s="93"/>
      <c r="G425" s="93"/>
      <c r="H425" s="76"/>
      <c r="I425" s="76"/>
      <c r="J425" s="76"/>
      <c r="K425" s="112"/>
    </row>
    <row r="426" spans="3:11" ht="15.75" x14ac:dyDescent="0.25">
      <c r="C426" s="202" t="s">
        <v>391</v>
      </c>
      <c r="D426" s="368"/>
      <c r="E426" s="93"/>
      <c r="F426" s="93"/>
      <c r="G426" s="93"/>
      <c r="H426" s="76"/>
      <c r="I426" s="76"/>
      <c r="J426" s="76"/>
      <c r="K426" s="112"/>
    </row>
    <row r="427" spans="3:11" ht="18.75" x14ac:dyDescent="0.25">
      <c r="C427" s="210" t="e">
        <f>IFERROR(VLOOKUP(D426,'1. Desarrollo e Innov. Curricu.'!$F:$G,2,FALSE),IFERROR(VLOOKUP(D426,'2. Investigación Científica'!$F:$G,2,FALSE),IFERROR(VLOOKUP(D426,'3. Vinculación Univ. Sociedad'!$F:$G,2,FALSE),IFERROR(VLOOKUP(D426,'4. Docencia y Profesorado Univ.'!$F:$G,2,FALSE),IFERROR(VLOOKUP(D426,'5. Estudiantes y Graduados'!$F:$G,2,FALSE),IFERROR(VLOOKUP(D426,'11. Gestion Administrativa'!$F:$G,2,FALSE),IFERROR(VLOOKUP(D426,'13. Gestión Académica'!$F:$G,2,FALSE),IFERROR(VLOOKUP(D426,'9. Asegura. de la Calid. y M'!$F:$G,2,FALSE),IFERROR(VLOOKUP(D426,'6. Gestión del Conocimiento'!$F:$G,2,FALSE),IFERROR(VLOOKUP(D426,'15. Gobernabilidad y Proceso...'!$F:$G,2,FALSE),IFERROR(VLOOKUP(D426,'12. Gestión del Talento Humano'!$F:$G,2,FALSE),IFERROR(VLOOKUP(D426,'14. Internacional... de la E.S.'!$F:$G,2,FALSE),IFERROR(VLOOKUP(D426,'10. Posgrado'!$F:$G,2,FALSE),IFERROR(VLOOKUP(D426,'17. Gestión TIC'!$F:$G,2,FALSE),IFERROR(VLOOKUP(D426,'16. Desa. del Sistema Educ.Sup.'!$F:$G,2,FALSE),IFERROR(VLOOKUP(D426,'8. Cultura de Inno. Insti...'!$F:$G,2,FALSE),VLOOKUP(D426,'7. Lo Esencial de la Reforma U.'!$F:$G,2,0)))))))))))))))))</f>
        <v>#N/A</v>
      </c>
      <c r="D427" s="31"/>
      <c r="E427" s="93"/>
      <c r="F427" s="93"/>
      <c r="G427" s="93"/>
      <c r="H427" s="76"/>
      <c r="I427" s="76"/>
      <c r="J427" s="76"/>
      <c r="K427" s="112"/>
    </row>
    <row r="428" spans="3:11" ht="15.75" thickBot="1" x14ac:dyDescent="0.3">
      <c r="F428" s="93"/>
      <c r="G428" s="76"/>
      <c r="H428" s="76"/>
      <c r="I428" s="76"/>
    </row>
    <row r="429" spans="3:11" ht="30.75" thickBot="1" x14ac:dyDescent="0.3">
      <c r="C429" s="129" t="s">
        <v>44</v>
      </c>
      <c r="D429" s="129" t="s">
        <v>55</v>
      </c>
      <c r="E429" s="136" t="s">
        <v>57</v>
      </c>
      <c r="F429" s="135" t="s">
        <v>27</v>
      </c>
      <c r="G429" s="133" t="s">
        <v>130</v>
      </c>
      <c r="H429" s="136" t="s">
        <v>46</v>
      </c>
      <c r="I429" s="133" t="s">
        <v>131</v>
      </c>
      <c r="J429" s="133" t="s">
        <v>409</v>
      </c>
      <c r="K429" s="133" t="s">
        <v>410</v>
      </c>
    </row>
    <row r="430" spans="3:11" x14ac:dyDescent="0.25">
      <c r="C430" s="220" t="s">
        <v>438</v>
      </c>
      <c r="D430" s="221"/>
      <c r="E430" s="219">
        <f>HLOOKUP(C430,$AH$2:$BU$3,2,0)</f>
        <v>620</v>
      </c>
      <c r="F430" s="97">
        <f t="shared" ref="F430" si="38">D430*E430</f>
        <v>0</v>
      </c>
      <c r="G430" s="161"/>
      <c r="H430" s="142"/>
      <c r="I430" s="130" t="e">
        <f>VLOOKUP(H430,Presupuesto!$B$11:$C$565,2,0)</f>
        <v>#N/A</v>
      </c>
      <c r="J430" s="218" t="s">
        <v>1363</v>
      </c>
      <c r="K430" s="98" t="s">
        <v>393</v>
      </c>
    </row>
    <row r="431" spans="3:11" x14ac:dyDescent="0.25">
      <c r="C431" s="141"/>
      <c r="D431" s="644"/>
      <c r="E431" s="645"/>
      <c r="F431" s="97"/>
      <c r="G431" s="161"/>
      <c r="H431" s="125"/>
      <c r="I431" s="130"/>
      <c r="J431" s="98"/>
      <c r="K431" s="98"/>
    </row>
    <row r="433" spans="3:11" ht="15.75" thickBot="1" x14ac:dyDescent="0.3"/>
    <row r="434" spans="3:11" ht="15.75" thickBot="1" x14ac:dyDescent="0.3">
      <c r="C434" s="157" t="s">
        <v>53</v>
      </c>
      <c r="D434" s="372">
        <f>SUM(F441:F443)</f>
        <v>60000</v>
      </c>
      <c r="E434" s="465"/>
      <c r="F434" s="70"/>
      <c r="G434" s="79"/>
      <c r="H434" s="70"/>
      <c r="I434" s="70"/>
      <c r="J434" s="465"/>
      <c r="K434" s="465"/>
    </row>
    <row r="435" spans="3:11" x14ac:dyDescent="0.25">
      <c r="C435" s="70"/>
      <c r="D435" s="31"/>
      <c r="E435" s="93"/>
      <c r="F435" s="93"/>
      <c r="G435" s="93"/>
      <c r="H435" s="76"/>
      <c r="I435" s="76"/>
      <c r="J435" s="76"/>
      <c r="K435" s="112"/>
    </row>
    <row r="436" spans="3:11" x14ac:dyDescent="0.25">
      <c r="C436" s="70"/>
      <c r="D436" s="31"/>
      <c r="E436" s="93"/>
      <c r="F436" s="93"/>
      <c r="G436" s="93"/>
      <c r="H436" s="76"/>
      <c r="I436" s="76"/>
      <c r="J436" s="76"/>
      <c r="K436" s="112"/>
    </row>
    <row r="437" spans="3:11" ht="15.75" x14ac:dyDescent="0.25">
      <c r="C437" s="202" t="s">
        <v>391</v>
      </c>
      <c r="D437" s="368" t="s">
        <v>2354</v>
      </c>
      <c r="E437" s="93"/>
      <c r="F437" s="93"/>
      <c r="G437" s="93"/>
      <c r="H437" s="76"/>
      <c r="I437" s="76"/>
      <c r="J437" s="76"/>
      <c r="K437" s="112"/>
    </row>
    <row r="438" spans="3:11" ht="18.75" x14ac:dyDescent="0.25">
      <c r="C438" s="210" t="str">
        <f>IFERROR(VLOOKUP(D437,'1. Desarrollo e Innov. Curricu.'!$F:$G,2,FALSE),IFERROR(VLOOKUP(D437,'2. Investigación Científica'!$F:$G,2,FALSE),IFERROR(VLOOKUP(D437,'3. Vinculación Univ. Sociedad'!$F:$G,2,FALSE),IFERROR(VLOOKUP(D437,'4. Docencia y Profesorado Univ.'!$F:$G,2,FALSE),IFERROR(VLOOKUP(D437,'5. Estudiantes y Graduados'!$F:$G,2,FALSE),IFERROR(VLOOKUP(D437,'11. Gestion Administrativa'!$F:$G,2,FALSE),IFERROR(VLOOKUP(D437,'13. Gestión Académica'!$F:$G,2,FALSE),IFERROR(VLOOKUP(D437,'9. Asegura. de la Calid. y M'!$F:$G,2,FALSE),IFERROR(VLOOKUP(D437,'6. Gestión del Conocimiento'!$F:$G,2,FALSE),IFERROR(VLOOKUP(D437,'15. Gobernabilidad y Proceso...'!$F:$G,2,FALSE),IFERROR(VLOOKUP(D437,'12. Gestión del Talento Humano'!$F:$G,2,FALSE),IFERROR(VLOOKUP(D437,'14. Internacional... de la E.S.'!$F:$G,2,FALSE),IFERROR(VLOOKUP(D437,'10. Posgrado'!$F:$G,2,FALSE),IFERROR(VLOOKUP(D437,'17. Gestión TIC'!$F:$G,2,FALSE),IFERROR(VLOOKUP(D437,'16. Desa. del Sistema Educ.Sup.'!$F:$G,2,FALSE),IFERROR(VLOOKUP(D437,'8. Cultura de Inno. Insti...'!$F:$G,2,FALSE),VLOOKUP(D437,'7. Lo Esencial de la Reforma U.'!$F:$G,2,0)))))))))))))))))</f>
        <v xml:space="preserve">Gestionar Equipamiento area adminsitrativa, biblioteca, aula de ajedrez </v>
      </c>
      <c r="D438" s="31"/>
      <c r="E438" s="93"/>
      <c r="F438" s="93"/>
      <c r="G438" s="93"/>
      <c r="H438" s="76"/>
      <c r="I438" s="76"/>
      <c r="J438" s="76"/>
      <c r="K438" s="112"/>
    </row>
    <row r="439" spans="3:11" ht="15.75" thickBot="1" x14ac:dyDescent="0.3">
      <c r="C439" s="465"/>
      <c r="D439" s="465"/>
      <c r="E439" s="465"/>
      <c r="F439" s="93"/>
      <c r="G439" s="76"/>
      <c r="H439" s="76"/>
      <c r="I439" s="76"/>
      <c r="J439" s="465"/>
      <c r="K439" s="465"/>
    </row>
    <row r="440" spans="3:11" ht="30.75" thickBot="1" x14ac:dyDescent="0.3">
      <c r="C440" s="129" t="s">
        <v>44</v>
      </c>
      <c r="D440" s="129" t="s">
        <v>55</v>
      </c>
      <c r="E440" s="136" t="s">
        <v>57</v>
      </c>
      <c r="F440" s="135" t="s">
        <v>27</v>
      </c>
      <c r="G440" s="133" t="s">
        <v>130</v>
      </c>
      <c r="H440" s="136" t="s">
        <v>46</v>
      </c>
      <c r="I440" s="133" t="s">
        <v>131</v>
      </c>
      <c r="J440" s="133" t="s">
        <v>409</v>
      </c>
      <c r="K440" s="133" t="s">
        <v>410</v>
      </c>
    </row>
    <row r="441" spans="3:11" x14ac:dyDescent="0.25">
      <c r="C441" s="220" t="s">
        <v>438</v>
      </c>
      <c r="D441" s="221"/>
      <c r="E441" s="219">
        <f>HLOOKUP(C441,$AH$2:$BU$3,2,0)</f>
        <v>620</v>
      </c>
      <c r="F441" s="97">
        <f t="shared" ref="F441:F443" si="39">D441*E441</f>
        <v>0</v>
      </c>
      <c r="G441" s="161"/>
      <c r="H441" s="142"/>
      <c r="I441" s="130" t="e">
        <f>VLOOKUP(H441,Presupuesto!$B$11:$C$565,2,0)</f>
        <v>#N/A</v>
      </c>
      <c r="J441" s="218" t="s">
        <v>1471</v>
      </c>
      <c r="K441" s="98" t="s">
        <v>393</v>
      </c>
    </row>
    <row r="442" spans="3:11" x14ac:dyDescent="0.25">
      <c r="C442" s="654" t="s">
        <v>2357</v>
      </c>
      <c r="D442" s="652">
        <v>1</v>
      </c>
      <c r="E442" s="653">
        <v>35000</v>
      </c>
      <c r="F442" s="97">
        <f t="shared" si="39"/>
        <v>35000</v>
      </c>
      <c r="G442" s="161" t="s">
        <v>1691</v>
      </c>
      <c r="H442" s="142" t="s">
        <v>985</v>
      </c>
      <c r="I442" s="130" t="str">
        <f>VLOOKUP(H442,Presupuesto!$B$11:$C$565,2,0)</f>
        <v>EQUIPOS VARIOS DE OFICINA</v>
      </c>
      <c r="J442" s="98" t="str">
        <f>$J$430</f>
        <v>Gestión Administrativa y  financiera en apoyo al Desarrollo Académico</v>
      </c>
      <c r="K442" s="98" t="s">
        <v>411</v>
      </c>
    </row>
    <row r="443" spans="3:11" x14ac:dyDescent="0.25">
      <c r="C443" s="567" t="s">
        <v>2358</v>
      </c>
      <c r="D443" s="652">
        <v>1</v>
      </c>
      <c r="E443" s="653">
        <v>25000</v>
      </c>
      <c r="F443" s="97">
        <f t="shared" si="39"/>
        <v>25000</v>
      </c>
      <c r="G443" s="161" t="s">
        <v>1691</v>
      </c>
      <c r="H443" s="142" t="s">
        <v>985</v>
      </c>
      <c r="I443" s="130" t="str">
        <f>VLOOKUP(H443,Presupuesto!$B$11:$C$565,2,0)</f>
        <v>EQUIPOS VARIOS DE OFICINA</v>
      </c>
      <c r="J443" s="98" t="str">
        <f t="shared" ref="J443" si="40">$J$430</f>
        <v>Gestión Administrativa y  financiera en apoyo al Desarrollo Académico</v>
      </c>
      <c r="K443" s="98" t="s">
        <v>411</v>
      </c>
    </row>
    <row r="445" spans="3:11" ht="15.75" thickBot="1" x14ac:dyDescent="0.3"/>
    <row r="446" spans="3:11" ht="15.75" thickBot="1" x14ac:dyDescent="0.3">
      <c r="C446" s="157" t="s">
        <v>53</v>
      </c>
      <c r="D446" s="372">
        <f>SUM(F453:F507)</f>
        <v>3477883.550301746</v>
      </c>
      <c r="E446" s="465"/>
      <c r="F446" s="70"/>
      <c r="G446" s="79"/>
      <c r="H446" s="70"/>
      <c r="I446" s="70"/>
      <c r="J446" s="465"/>
      <c r="K446" s="465"/>
    </row>
    <row r="447" spans="3:11" x14ac:dyDescent="0.25">
      <c r="C447" s="70"/>
      <c r="D447" s="31"/>
      <c r="E447" s="93"/>
      <c r="F447" s="93"/>
      <c r="G447" s="93"/>
      <c r="H447" s="76"/>
      <c r="I447" s="76"/>
      <c r="J447" s="76"/>
      <c r="K447" s="112"/>
    </row>
    <row r="448" spans="3:11" x14ac:dyDescent="0.25">
      <c r="C448" s="70"/>
      <c r="D448" s="31"/>
      <c r="E448" s="93"/>
      <c r="F448" s="93"/>
      <c r="G448" s="93"/>
      <c r="H448" s="76"/>
      <c r="I448" s="76"/>
      <c r="J448" s="76"/>
      <c r="K448" s="112"/>
    </row>
    <row r="449" spans="3:11" ht="15.75" x14ac:dyDescent="0.25">
      <c r="C449" s="202" t="s">
        <v>391</v>
      </c>
      <c r="D449" s="368" t="s">
        <v>2356</v>
      </c>
      <c r="E449" s="93"/>
      <c r="F449" s="93"/>
      <c r="G449" s="93"/>
      <c r="H449" s="76"/>
      <c r="I449" s="76"/>
      <c r="J449" s="76"/>
      <c r="K449" s="112"/>
    </row>
    <row r="450" spans="3:11" ht="18.75" x14ac:dyDescent="0.25">
      <c r="C450" s="795" t="str">
        <f>IFERROR(VLOOKUP(D449,'1. Desarrollo e Innov. Curricu.'!$F:$G,2,FALSE),IFERROR(VLOOKUP(D449,'2. Investigación Científica'!$F:$G,2,FALSE),IFERROR(VLOOKUP(D449,'3. Vinculación Univ. Sociedad'!$F:$G,2,FALSE),IFERROR(VLOOKUP(D449,'4. Docencia y Profesorado Univ.'!$F:$G,2,FALSE),IFERROR(VLOOKUP(D449,'5. Estudiantes y Graduados'!$F:$G,2,FALSE),IFERROR(VLOOKUP(D449,'11. Gestion Administrativa'!$F:$G,2,FALSE),IFERROR(VLOOKUP(D449,'13. Gestión Académica'!$F:$G,2,FALSE),IFERROR(VLOOKUP(D449,'9. Asegura. de la Calid. y M'!$F:$G,2,FALSE),IFERROR(VLOOKUP(D449,'6. Gestión del Conocimiento'!$F:$G,2,FALSE),IFERROR(VLOOKUP(D449,'15. Gobernabilidad y Proceso...'!$F:$G,2,FALSE),IFERROR(VLOOKUP(D449,'12. Gestión del Talento Humano'!$F:$G,2,FALSE),IFERROR(VLOOKUP(D449,'14. Internacional... de la E.S.'!$F:$G,2,FALSE),IFERROR(VLOOKUP(D449,'10. Posgrado'!$F:$G,2,FALSE),IFERROR(VLOOKUP(D449,'17. Gestión TIC'!$F:$G,2,FALSE),IFERROR(VLOOKUP(D449,'16. Desa. del Sistema Educ.Sup.'!$F:$G,2,FALSE),IFERROR(VLOOKUP(D449,'8. Cultura de Inno. Insti...'!$F:$G,2,FALSE),VLOOKUP(D449,'7. Lo Esencial de la Reforma U.'!$F:$G,2,0)))))))))))))))))</f>
        <v>gestion de equipo de laboratorio para ingenieria agroindustrial, para usos multiples.</v>
      </c>
      <c r="D450" s="31"/>
      <c r="E450" s="93"/>
      <c r="F450" s="93"/>
      <c r="G450" s="93"/>
      <c r="H450" s="76"/>
      <c r="I450" s="76"/>
      <c r="J450" s="76"/>
      <c r="K450" s="112"/>
    </row>
    <row r="451" spans="3:11" ht="15.75" thickBot="1" x14ac:dyDescent="0.3">
      <c r="C451" s="465"/>
      <c r="D451" s="465"/>
      <c r="E451" s="465"/>
      <c r="F451" s="93"/>
      <c r="G451" s="76"/>
      <c r="H451" s="76"/>
      <c r="I451" s="76"/>
      <c r="J451" s="465"/>
      <c r="K451" s="465"/>
    </row>
    <row r="452" spans="3:11" ht="30.75" thickBot="1" x14ac:dyDescent="0.3">
      <c r="C452" s="129" t="s">
        <v>44</v>
      </c>
      <c r="D452" s="129" t="s">
        <v>55</v>
      </c>
      <c r="E452" s="136" t="s">
        <v>57</v>
      </c>
      <c r="F452" s="135" t="s">
        <v>27</v>
      </c>
      <c r="G452" s="133" t="s">
        <v>130</v>
      </c>
      <c r="H452" s="136" t="s">
        <v>46</v>
      </c>
      <c r="I452" s="133" t="s">
        <v>131</v>
      </c>
      <c r="J452" s="133" t="s">
        <v>409</v>
      </c>
      <c r="K452" s="133" t="s">
        <v>410</v>
      </c>
    </row>
    <row r="453" spans="3:11" x14ac:dyDescent="0.25">
      <c r="C453" s="220" t="s">
        <v>438</v>
      </c>
      <c r="D453" s="221"/>
      <c r="E453" s="219">
        <f>HLOOKUP(C453,$AH$2:$BU$3,2,0)</f>
        <v>620</v>
      </c>
      <c r="F453" s="97">
        <f t="shared" ref="F453:F458" si="41">D453*E453</f>
        <v>0</v>
      </c>
      <c r="G453" s="161"/>
      <c r="H453" s="142"/>
      <c r="I453" s="130" t="e">
        <f>VLOOKUP(H453,Presupuesto!$B$11:$C$565,2,0)</f>
        <v>#N/A</v>
      </c>
      <c r="J453" s="218" t="s">
        <v>1363</v>
      </c>
      <c r="K453" s="98" t="s">
        <v>393</v>
      </c>
    </row>
    <row r="454" spans="3:11" ht="30" x14ac:dyDescent="0.25">
      <c r="C454" s="660" t="s">
        <v>2366</v>
      </c>
      <c r="D454" s="661">
        <v>1</v>
      </c>
      <c r="E454" s="662">
        <v>51000</v>
      </c>
      <c r="F454" s="97">
        <f t="shared" si="41"/>
        <v>51000</v>
      </c>
      <c r="G454" s="161" t="s">
        <v>1691</v>
      </c>
      <c r="H454" s="142" t="s">
        <v>1002</v>
      </c>
      <c r="I454" s="130" t="str">
        <f>VLOOKUP(H454,Presupuesto!$B$11:$C$565,2,0)</f>
        <v>EQUIPO MEDICO Y LABORATORIO</v>
      </c>
      <c r="J454" s="98" t="str">
        <f>$J$430</f>
        <v>Gestión Administrativa y  financiera en apoyo al Desarrollo Académico</v>
      </c>
      <c r="K454" s="98" t="s">
        <v>411</v>
      </c>
    </row>
    <row r="455" spans="3:11" ht="30" x14ac:dyDescent="0.25">
      <c r="C455" s="660" t="s">
        <v>2367</v>
      </c>
      <c r="D455" s="661">
        <v>1</v>
      </c>
      <c r="E455" s="662">
        <v>9000</v>
      </c>
      <c r="F455" s="97">
        <f t="shared" si="41"/>
        <v>9000</v>
      </c>
      <c r="G455" s="161" t="s">
        <v>1691</v>
      </c>
      <c r="H455" s="142" t="s">
        <v>1002</v>
      </c>
      <c r="I455" s="130" t="str">
        <f>VLOOKUP(H455,Presupuesto!$B$11:$C$565,2,0)</f>
        <v>EQUIPO MEDICO Y LABORATORIO</v>
      </c>
      <c r="J455" s="98" t="str">
        <f t="shared" ref="J455:J507" si="42">$J$430</f>
        <v>Gestión Administrativa y  financiera en apoyo al Desarrollo Académico</v>
      </c>
      <c r="K455" s="98" t="s">
        <v>411</v>
      </c>
    </row>
    <row r="456" spans="3:11" ht="30" x14ac:dyDescent="0.25">
      <c r="C456" s="660" t="s">
        <v>2368</v>
      </c>
      <c r="D456" s="661">
        <v>1</v>
      </c>
      <c r="E456" s="662">
        <v>4500</v>
      </c>
      <c r="F456" s="97">
        <f t="shared" si="41"/>
        <v>4500</v>
      </c>
      <c r="G456" s="161" t="s">
        <v>1691</v>
      </c>
      <c r="H456" s="142" t="s">
        <v>1002</v>
      </c>
      <c r="I456" s="130" t="str">
        <f>VLOOKUP(H456,Presupuesto!$B$11:$C$565,2,0)</f>
        <v>EQUIPO MEDICO Y LABORATORIO</v>
      </c>
      <c r="J456" s="98" t="str">
        <f t="shared" si="42"/>
        <v>Gestión Administrativa y  financiera en apoyo al Desarrollo Académico</v>
      </c>
      <c r="K456" s="98" t="s">
        <v>411</v>
      </c>
    </row>
    <row r="457" spans="3:11" ht="30" x14ac:dyDescent="0.25">
      <c r="C457" s="660" t="s">
        <v>2369</v>
      </c>
      <c r="D457" s="661">
        <v>1</v>
      </c>
      <c r="E457" s="662">
        <v>7500</v>
      </c>
      <c r="F457" s="97">
        <f t="shared" si="41"/>
        <v>7500</v>
      </c>
      <c r="G457" s="161" t="s">
        <v>1691</v>
      </c>
      <c r="H457" s="142" t="s">
        <v>1002</v>
      </c>
      <c r="I457" s="130" t="str">
        <f>VLOOKUP(H457,Presupuesto!$B$11:$C$565,2,0)</f>
        <v>EQUIPO MEDICO Y LABORATORIO</v>
      </c>
      <c r="J457" s="98" t="str">
        <f t="shared" si="42"/>
        <v>Gestión Administrativa y  financiera en apoyo al Desarrollo Académico</v>
      </c>
      <c r="K457" s="98" t="s">
        <v>411</v>
      </c>
    </row>
    <row r="458" spans="3:11" ht="30" x14ac:dyDescent="0.25">
      <c r="C458" s="660" t="s">
        <v>2370</v>
      </c>
      <c r="D458" s="661">
        <v>1</v>
      </c>
      <c r="E458" s="662">
        <v>9000</v>
      </c>
      <c r="F458" s="97">
        <f t="shared" si="41"/>
        <v>9000</v>
      </c>
      <c r="G458" s="161" t="s">
        <v>1691</v>
      </c>
      <c r="H458" s="142" t="s">
        <v>1002</v>
      </c>
      <c r="I458" s="130" t="str">
        <f>VLOOKUP(H458,Presupuesto!$B$11:$C$565,2,0)</f>
        <v>EQUIPO MEDICO Y LABORATORIO</v>
      </c>
      <c r="J458" s="98" t="str">
        <f t="shared" si="42"/>
        <v>Gestión Administrativa y  financiera en apoyo al Desarrollo Académico</v>
      </c>
      <c r="K458" s="98" t="s">
        <v>400</v>
      </c>
    </row>
    <row r="459" spans="3:11" s="465" customFormat="1" ht="30" x14ac:dyDescent="0.25">
      <c r="C459" s="660" t="s">
        <v>2371</v>
      </c>
      <c r="D459" s="661">
        <v>1</v>
      </c>
      <c r="E459" s="662">
        <v>115000</v>
      </c>
      <c r="F459" s="97">
        <f t="shared" ref="F459:F507" si="43">D459*E459</f>
        <v>115000</v>
      </c>
      <c r="G459" s="161" t="s">
        <v>1691</v>
      </c>
      <c r="H459" s="142" t="s">
        <v>1002</v>
      </c>
      <c r="I459" s="130" t="str">
        <f>VLOOKUP(H459,Presupuesto!$B$11:$C$565,2,0)</f>
        <v>EQUIPO MEDICO Y LABORATORIO</v>
      </c>
      <c r="J459" s="98" t="str">
        <f t="shared" si="42"/>
        <v>Gestión Administrativa y  financiera en apoyo al Desarrollo Académico</v>
      </c>
      <c r="K459" s="98" t="s">
        <v>400</v>
      </c>
    </row>
    <row r="460" spans="3:11" s="465" customFormat="1" ht="30" x14ac:dyDescent="0.25">
      <c r="C460" s="660" t="s">
        <v>2372</v>
      </c>
      <c r="D460" s="661">
        <v>1</v>
      </c>
      <c r="E460" s="662">
        <v>70000</v>
      </c>
      <c r="F460" s="97">
        <f t="shared" si="43"/>
        <v>70000</v>
      </c>
      <c r="G460" s="161" t="s">
        <v>1691</v>
      </c>
      <c r="H460" s="142" t="s">
        <v>1002</v>
      </c>
      <c r="I460" s="130" t="str">
        <f>VLOOKUP(H460,Presupuesto!$B$11:$C$565,2,0)</f>
        <v>EQUIPO MEDICO Y LABORATORIO</v>
      </c>
      <c r="J460" s="98" t="str">
        <f t="shared" si="42"/>
        <v>Gestión Administrativa y  financiera en apoyo al Desarrollo Académico</v>
      </c>
      <c r="K460" s="98" t="s">
        <v>400</v>
      </c>
    </row>
    <row r="461" spans="3:11" s="465" customFormat="1" ht="30" x14ac:dyDescent="0.25">
      <c r="C461" s="660" t="s">
        <v>2373</v>
      </c>
      <c r="D461" s="661">
        <v>1</v>
      </c>
      <c r="E461" s="662">
        <v>20000</v>
      </c>
      <c r="F461" s="97">
        <f t="shared" si="43"/>
        <v>20000</v>
      </c>
      <c r="G461" s="161" t="s">
        <v>1691</v>
      </c>
      <c r="H461" s="142" t="s">
        <v>1002</v>
      </c>
      <c r="I461" s="130" t="str">
        <f>VLOOKUP(H461,Presupuesto!$B$11:$C$565,2,0)</f>
        <v>EQUIPO MEDICO Y LABORATORIO</v>
      </c>
      <c r="J461" s="98" t="str">
        <f t="shared" si="42"/>
        <v>Gestión Administrativa y  financiera en apoyo al Desarrollo Académico</v>
      </c>
      <c r="K461" s="98" t="s">
        <v>400</v>
      </c>
    </row>
    <row r="462" spans="3:11" s="465" customFormat="1" x14ac:dyDescent="0.25">
      <c r="C462" s="660" t="s">
        <v>2374</v>
      </c>
      <c r="D462" s="661">
        <v>1</v>
      </c>
      <c r="E462" s="662">
        <v>6000</v>
      </c>
      <c r="F462" s="97">
        <f t="shared" si="43"/>
        <v>6000</v>
      </c>
      <c r="G462" s="161" t="s">
        <v>1691</v>
      </c>
      <c r="H462" s="142" t="s">
        <v>1002</v>
      </c>
      <c r="I462" s="130" t="str">
        <f>VLOOKUP(H462,Presupuesto!$B$11:$C$565,2,0)</f>
        <v>EQUIPO MEDICO Y LABORATORIO</v>
      </c>
      <c r="J462" s="98" t="str">
        <f t="shared" si="42"/>
        <v>Gestión Administrativa y  financiera en apoyo al Desarrollo Académico</v>
      </c>
      <c r="K462" s="98" t="s">
        <v>400</v>
      </c>
    </row>
    <row r="463" spans="3:11" s="465" customFormat="1" x14ac:dyDescent="0.25">
      <c r="C463" s="660" t="s">
        <v>2375</v>
      </c>
      <c r="D463" s="661">
        <v>1</v>
      </c>
      <c r="E463" s="662">
        <f>221116+16934</f>
        <v>238050</v>
      </c>
      <c r="F463" s="97">
        <f t="shared" si="43"/>
        <v>238050</v>
      </c>
      <c r="G463" s="161" t="s">
        <v>1691</v>
      </c>
      <c r="H463" s="142" t="s">
        <v>1002</v>
      </c>
      <c r="I463" s="130" t="str">
        <f>VLOOKUP(H463,Presupuesto!$B$11:$C$565,2,0)</f>
        <v>EQUIPO MEDICO Y LABORATORIO</v>
      </c>
      <c r="J463" s="98" t="str">
        <f t="shared" si="42"/>
        <v>Gestión Administrativa y  financiera en apoyo al Desarrollo Académico</v>
      </c>
      <c r="K463" s="98" t="s">
        <v>400</v>
      </c>
    </row>
    <row r="464" spans="3:11" s="465" customFormat="1" x14ac:dyDescent="0.25">
      <c r="C464" s="660" t="s">
        <v>2376</v>
      </c>
      <c r="D464" s="661">
        <v>1</v>
      </c>
      <c r="E464" s="662">
        <f>45550+16934</f>
        <v>62484</v>
      </c>
      <c r="F464" s="97">
        <f t="shared" si="43"/>
        <v>62484</v>
      </c>
      <c r="G464" s="161" t="s">
        <v>1691</v>
      </c>
      <c r="H464" s="142" t="s">
        <v>1002</v>
      </c>
      <c r="I464" s="130" t="str">
        <f>VLOOKUP(H464,Presupuesto!$B$11:$C$565,2,0)</f>
        <v>EQUIPO MEDICO Y LABORATORIO</v>
      </c>
      <c r="J464" s="98" t="str">
        <f t="shared" si="42"/>
        <v>Gestión Administrativa y  financiera en apoyo al Desarrollo Académico</v>
      </c>
      <c r="K464" s="98" t="s">
        <v>400</v>
      </c>
    </row>
    <row r="465" spans="3:11" s="465" customFormat="1" x14ac:dyDescent="0.25">
      <c r="C465" s="660" t="s">
        <v>2377</v>
      </c>
      <c r="D465" s="661">
        <v>1</v>
      </c>
      <c r="E465" s="662">
        <v>4500</v>
      </c>
      <c r="F465" s="97">
        <f t="shared" si="43"/>
        <v>4500</v>
      </c>
      <c r="G465" s="161" t="s">
        <v>1691</v>
      </c>
      <c r="H465" s="142" t="s">
        <v>1002</v>
      </c>
      <c r="I465" s="130" t="str">
        <f>VLOOKUP(H465,Presupuesto!$B$11:$C$565,2,0)</f>
        <v>EQUIPO MEDICO Y LABORATORIO</v>
      </c>
      <c r="J465" s="98" t="str">
        <f t="shared" si="42"/>
        <v>Gestión Administrativa y  financiera en apoyo al Desarrollo Académico</v>
      </c>
      <c r="K465" s="98" t="s">
        <v>400</v>
      </c>
    </row>
    <row r="466" spans="3:11" s="465" customFormat="1" x14ac:dyDescent="0.25">
      <c r="C466" s="660" t="s">
        <v>2378</v>
      </c>
      <c r="D466" s="661">
        <v>1</v>
      </c>
      <c r="E466" s="662">
        <v>12000</v>
      </c>
      <c r="F466" s="97">
        <f t="shared" si="43"/>
        <v>12000</v>
      </c>
      <c r="G466" s="161" t="s">
        <v>1691</v>
      </c>
      <c r="H466" s="142" t="s">
        <v>1002</v>
      </c>
      <c r="I466" s="130" t="str">
        <f>VLOOKUP(H466,Presupuesto!$B$11:$C$565,2,0)</f>
        <v>EQUIPO MEDICO Y LABORATORIO</v>
      </c>
      <c r="J466" s="98" t="str">
        <f t="shared" si="42"/>
        <v>Gestión Administrativa y  financiera en apoyo al Desarrollo Académico</v>
      </c>
      <c r="K466" s="98" t="s">
        <v>400</v>
      </c>
    </row>
    <row r="467" spans="3:11" s="465" customFormat="1" x14ac:dyDescent="0.25">
      <c r="C467" s="660" t="s">
        <v>2379</v>
      </c>
      <c r="D467" s="661">
        <v>1</v>
      </c>
      <c r="E467" s="662">
        <v>2000</v>
      </c>
      <c r="F467" s="97">
        <f t="shared" si="43"/>
        <v>2000</v>
      </c>
      <c r="G467" s="161" t="s">
        <v>1691</v>
      </c>
      <c r="H467" s="142" t="s">
        <v>1002</v>
      </c>
      <c r="I467" s="130" t="str">
        <f>VLOOKUP(H467,Presupuesto!$B$11:$C$565,2,0)</f>
        <v>EQUIPO MEDICO Y LABORATORIO</v>
      </c>
      <c r="J467" s="98" t="str">
        <f t="shared" si="42"/>
        <v>Gestión Administrativa y  financiera en apoyo al Desarrollo Académico</v>
      </c>
      <c r="K467" s="98" t="s">
        <v>400</v>
      </c>
    </row>
    <row r="468" spans="3:11" s="465" customFormat="1" x14ac:dyDescent="0.25">
      <c r="C468" s="660" t="s">
        <v>2380</v>
      </c>
      <c r="D468" s="661">
        <v>2</v>
      </c>
      <c r="E468" s="662">
        <v>1400</v>
      </c>
      <c r="F468" s="97">
        <f t="shared" si="43"/>
        <v>2800</v>
      </c>
      <c r="G468" s="161" t="s">
        <v>1691</v>
      </c>
      <c r="H468" s="142" t="s">
        <v>1002</v>
      </c>
      <c r="I468" s="130" t="str">
        <f>VLOOKUP(H468,Presupuesto!$B$11:$C$565,2,0)</f>
        <v>EQUIPO MEDICO Y LABORATORIO</v>
      </c>
      <c r="J468" s="98" t="str">
        <f t="shared" si="42"/>
        <v>Gestión Administrativa y  financiera en apoyo al Desarrollo Académico</v>
      </c>
      <c r="K468" s="98" t="s">
        <v>400</v>
      </c>
    </row>
    <row r="469" spans="3:11" s="465" customFormat="1" x14ac:dyDescent="0.25">
      <c r="C469" s="660" t="s">
        <v>2381</v>
      </c>
      <c r="D469" s="661">
        <v>1</v>
      </c>
      <c r="E469" s="662">
        <v>4000</v>
      </c>
      <c r="F469" s="97">
        <f t="shared" si="43"/>
        <v>4000</v>
      </c>
      <c r="G469" s="161" t="s">
        <v>1691</v>
      </c>
      <c r="H469" s="142" t="s">
        <v>1002</v>
      </c>
      <c r="I469" s="130" t="str">
        <f>VLOOKUP(H469,Presupuesto!$B$11:$C$565,2,0)</f>
        <v>EQUIPO MEDICO Y LABORATORIO</v>
      </c>
      <c r="J469" s="98" t="str">
        <f t="shared" si="42"/>
        <v>Gestión Administrativa y  financiera en apoyo al Desarrollo Académico</v>
      </c>
      <c r="K469" s="98" t="s">
        <v>400</v>
      </c>
    </row>
    <row r="470" spans="3:11" s="465" customFormat="1" x14ac:dyDescent="0.25">
      <c r="C470" s="663" t="s">
        <v>2382</v>
      </c>
      <c r="D470" s="661">
        <v>1</v>
      </c>
      <c r="E470" s="662">
        <v>14000</v>
      </c>
      <c r="F470" s="97">
        <f t="shared" si="43"/>
        <v>14000</v>
      </c>
      <c r="G470" s="161" t="s">
        <v>1691</v>
      </c>
      <c r="H470" s="142" t="s">
        <v>1002</v>
      </c>
      <c r="I470" s="130" t="str">
        <f>VLOOKUP(H470,Presupuesto!$B$11:$C$565,2,0)</f>
        <v>EQUIPO MEDICO Y LABORATORIO</v>
      </c>
      <c r="J470" s="98" t="str">
        <f t="shared" si="42"/>
        <v>Gestión Administrativa y  financiera en apoyo al Desarrollo Académico</v>
      </c>
      <c r="K470" s="98" t="s">
        <v>400</v>
      </c>
    </row>
    <row r="471" spans="3:11" s="465" customFormat="1" x14ac:dyDescent="0.25">
      <c r="C471" s="660" t="s">
        <v>2383</v>
      </c>
      <c r="D471" s="661">
        <v>1</v>
      </c>
      <c r="E471" s="662">
        <v>30000</v>
      </c>
      <c r="F471" s="97">
        <f t="shared" si="43"/>
        <v>30000</v>
      </c>
      <c r="G471" s="161" t="s">
        <v>1691</v>
      </c>
      <c r="H471" s="142" t="s">
        <v>1002</v>
      </c>
      <c r="I471" s="130" t="str">
        <f>VLOOKUP(H471,Presupuesto!$B$11:$C$565,2,0)</f>
        <v>EQUIPO MEDICO Y LABORATORIO</v>
      </c>
      <c r="J471" s="98" t="str">
        <f t="shared" si="42"/>
        <v>Gestión Administrativa y  financiera en apoyo al Desarrollo Académico</v>
      </c>
      <c r="K471" s="98" t="s">
        <v>400</v>
      </c>
    </row>
    <row r="472" spans="3:11" s="465" customFormat="1" ht="30" x14ac:dyDescent="0.25">
      <c r="C472" s="660" t="s">
        <v>2384</v>
      </c>
      <c r="D472" s="607">
        <v>1</v>
      </c>
      <c r="E472" s="612">
        <v>74550</v>
      </c>
      <c r="F472" s="97">
        <f t="shared" si="43"/>
        <v>74550</v>
      </c>
      <c r="G472" s="161" t="s">
        <v>1691</v>
      </c>
      <c r="H472" s="142" t="s">
        <v>1002</v>
      </c>
      <c r="I472" s="130" t="str">
        <f>VLOOKUP(H472,Presupuesto!$B$11:$C$565,2,0)</f>
        <v>EQUIPO MEDICO Y LABORATORIO</v>
      </c>
      <c r="J472" s="98" t="str">
        <f t="shared" si="42"/>
        <v>Gestión Administrativa y  financiera en apoyo al Desarrollo Académico</v>
      </c>
      <c r="K472" s="98" t="s">
        <v>400</v>
      </c>
    </row>
    <row r="473" spans="3:11" s="465" customFormat="1" ht="195" x14ac:dyDescent="0.25">
      <c r="C473" s="664" t="s">
        <v>2385</v>
      </c>
      <c r="D473" s="607">
        <v>1</v>
      </c>
      <c r="E473" s="612">
        <v>185000</v>
      </c>
      <c r="F473" s="97">
        <f t="shared" si="43"/>
        <v>185000</v>
      </c>
      <c r="G473" s="161" t="s">
        <v>1691</v>
      </c>
      <c r="H473" s="142" t="s">
        <v>1002</v>
      </c>
      <c r="I473" s="130" t="str">
        <f>VLOOKUP(H473,Presupuesto!$B$11:$C$565,2,0)</f>
        <v>EQUIPO MEDICO Y LABORATORIO</v>
      </c>
      <c r="J473" s="98" t="str">
        <f t="shared" si="42"/>
        <v>Gestión Administrativa y  financiera en apoyo al Desarrollo Académico</v>
      </c>
      <c r="K473" s="98" t="s">
        <v>400</v>
      </c>
    </row>
    <row r="474" spans="3:11" s="465" customFormat="1" x14ac:dyDescent="0.25">
      <c r="C474" s="660" t="s">
        <v>2386</v>
      </c>
      <c r="D474" s="607">
        <v>1</v>
      </c>
      <c r="E474" s="612">
        <v>1000</v>
      </c>
      <c r="F474" s="97">
        <f t="shared" si="43"/>
        <v>1000</v>
      </c>
      <c r="G474" s="161" t="s">
        <v>1691</v>
      </c>
      <c r="H474" s="142" t="s">
        <v>1002</v>
      </c>
      <c r="I474" s="130" t="str">
        <f>VLOOKUP(H474,Presupuesto!$B$11:$C$565,2,0)</f>
        <v>EQUIPO MEDICO Y LABORATORIO</v>
      </c>
      <c r="J474" s="98" t="str">
        <f t="shared" si="42"/>
        <v>Gestión Administrativa y  financiera en apoyo al Desarrollo Académico</v>
      </c>
      <c r="K474" s="98" t="s">
        <v>400</v>
      </c>
    </row>
    <row r="475" spans="3:11" s="465" customFormat="1" ht="165" x14ac:dyDescent="0.25">
      <c r="C475" s="665" t="s">
        <v>2387</v>
      </c>
      <c r="D475" s="607">
        <v>1</v>
      </c>
      <c r="E475" s="612">
        <v>400000</v>
      </c>
      <c r="F475" s="97">
        <f t="shared" si="43"/>
        <v>400000</v>
      </c>
      <c r="G475" s="161" t="s">
        <v>1691</v>
      </c>
      <c r="H475" s="142" t="s">
        <v>1002</v>
      </c>
      <c r="I475" s="130" t="str">
        <f>VLOOKUP(H475,Presupuesto!$B$11:$C$565,2,0)</f>
        <v>EQUIPO MEDICO Y LABORATORIO</v>
      </c>
      <c r="J475" s="98" t="str">
        <f t="shared" si="42"/>
        <v>Gestión Administrativa y  financiera en apoyo al Desarrollo Académico</v>
      </c>
      <c r="K475" s="98" t="s">
        <v>400</v>
      </c>
    </row>
    <row r="476" spans="3:11" s="465" customFormat="1" x14ac:dyDescent="0.25">
      <c r="C476" s="666" t="s">
        <v>2388</v>
      </c>
      <c r="D476" s="607">
        <v>1</v>
      </c>
      <c r="E476" s="612">
        <v>135000</v>
      </c>
      <c r="F476" s="97">
        <f t="shared" si="43"/>
        <v>135000</v>
      </c>
      <c r="G476" s="161" t="s">
        <v>1691</v>
      </c>
      <c r="H476" s="142" t="s">
        <v>1002</v>
      </c>
      <c r="I476" s="130" t="str">
        <f>VLOOKUP(H476,Presupuesto!$B$11:$C$565,2,0)</f>
        <v>EQUIPO MEDICO Y LABORATORIO</v>
      </c>
      <c r="J476" s="98" t="str">
        <f t="shared" si="42"/>
        <v>Gestión Administrativa y  financiera en apoyo al Desarrollo Académico</v>
      </c>
      <c r="K476" s="98" t="s">
        <v>400</v>
      </c>
    </row>
    <row r="477" spans="3:11" s="465" customFormat="1" x14ac:dyDescent="0.25">
      <c r="C477" s="666" t="s">
        <v>2389</v>
      </c>
      <c r="D477" s="607">
        <v>2</v>
      </c>
      <c r="E477" s="612">
        <v>10000</v>
      </c>
      <c r="F477" s="97">
        <f t="shared" si="43"/>
        <v>20000</v>
      </c>
      <c r="G477" s="161" t="s">
        <v>1691</v>
      </c>
      <c r="H477" s="142" t="s">
        <v>1002</v>
      </c>
      <c r="I477" s="130" t="str">
        <f>VLOOKUP(H477,Presupuesto!$B$11:$C$565,2,0)</f>
        <v>EQUIPO MEDICO Y LABORATORIO</v>
      </c>
      <c r="J477" s="98" t="str">
        <f t="shared" si="42"/>
        <v>Gestión Administrativa y  financiera en apoyo al Desarrollo Académico</v>
      </c>
      <c r="K477" s="98" t="s">
        <v>400</v>
      </c>
    </row>
    <row r="478" spans="3:11" s="465" customFormat="1" x14ac:dyDescent="0.25">
      <c r="C478" s="666" t="s">
        <v>2390</v>
      </c>
      <c r="D478" s="607">
        <v>1</v>
      </c>
      <c r="E478" s="612">
        <v>65000</v>
      </c>
      <c r="F478" s="97">
        <f t="shared" si="43"/>
        <v>65000</v>
      </c>
      <c r="G478" s="161" t="s">
        <v>1691</v>
      </c>
      <c r="H478" s="142" t="s">
        <v>1002</v>
      </c>
      <c r="I478" s="130" t="str">
        <f>VLOOKUP(H478,Presupuesto!$B$11:$C$565,2,0)</f>
        <v>EQUIPO MEDICO Y LABORATORIO</v>
      </c>
      <c r="J478" s="98" t="str">
        <f t="shared" si="42"/>
        <v>Gestión Administrativa y  financiera en apoyo al Desarrollo Académico</v>
      </c>
      <c r="K478" s="98" t="s">
        <v>400</v>
      </c>
    </row>
    <row r="479" spans="3:11" s="465" customFormat="1" ht="30" x14ac:dyDescent="0.25">
      <c r="C479" s="666" t="s">
        <v>2391</v>
      </c>
      <c r="D479" s="607">
        <v>1</v>
      </c>
      <c r="E479" s="612">
        <v>119450</v>
      </c>
      <c r="F479" s="97">
        <f t="shared" si="43"/>
        <v>119450</v>
      </c>
      <c r="G479" s="161" t="s">
        <v>1691</v>
      </c>
      <c r="H479" s="142" t="s">
        <v>1002</v>
      </c>
      <c r="I479" s="130" t="str">
        <f>VLOOKUP(H479,Presupuesto!$B$11:$C$565,2,0)</f>
        <v>EQUIPO MEDICO Y LABORATORIO</v>
      </c>
      <c r="J479" s="98" t="str">
        <f t="shared" si="42"/>
        <v>Gestión Administrativa y  financiera en apoyo al Desarrollo Académico</v>
      </c>
      <c r="K479" s="98" t="s">
        <v>400</v>
      </c>
    </row>
    <row r="480" spans="3:11" s="465" customFormat="1" x14ac:dyDescent="0.25">
      <c r="C480" s="666" t="s">
        <v>2392</v>
      </c>
      <c r="D480" s="607">
        <v>4</v>
      </c>
      <c r="E480" s="612">
        <v>15000</v>
      </c>
      <c r="F480" s="97">
        <f t="shared" si="43"/>
        <v>60000</v>
      </c>
      <c r="G480" s="161" t="s">
        <v>1691</v>
      </c>
      <c r="H480" s="142" t="s">
        <v>1002</v>
      </c>
      <c r="I480" s="130" t="str">
        <f>VLOOKUP(H480,Presupuesto!$B$11:$C$565,2,0)</f>
        <v>EQUIPO MEDICO Y LABORATORIO</v>
      </c>
      <c r="J480" s="98" t="str">
        <f t="shared" si="42"/>
        <v>Gestión Administrativa y  financiera en apoyo al Desarrollo Académico</v>
      </c>
      <c r="K480" s="98" t="s">
        <v>400</v>
      </c>
    </row>
    <row r="481" spans="3:11" s="465" customFormat="1" ht="45" x14ac:dyDescent="0.25">
      <c r="C481" s="666" t="s">
        <v>2393</v>
      </c>
      <c r="D481" s="607">
        <v>2</v>
      </c>
      <c r="E481" s="612">
        <v>92000</v>
      </c>
      <c r="F481" s="97">
        <f t="shared" si="43"/>
        <v>184000</v>
      </c>
      <c r="G481" s="161" t="s">
        <v>1691</v>
      </c>
      <c r="H481" s="142" t="s">
        <v>1002</v>
      </c>
      <c r="I481" s="130" t="str">
        <f>VLOOKUP(H481,Presupuesto!$B$11:$C$565,2,0)</f>
        <v>EQUIPO MEDICO Y LABORATORIO</v>
      </c>
      <c r="J481" s="98" t="str">
        <f t="shared" si="42"/>
        <v>Gestión Administrativa y  financiera en apoyo al Desarrollo Académico</v>
      </c>
      <c r="K481" s="98" t="s">
        <v>400</v>
      </c>
    </row>
    <row r="482" spans="3:11" s="465" customFormat="1" ht="30" x14ac:dyDescent="0.25">
      <c r="C482" s="666" t="s">
        <v>2394</v>
      </c>
      <c r="D482" s="607">
        <v>1</v>
      </c>
      <c r="E482" s="612">
        <v>75000</v>
      </c>
      <c r="F482" s="97">
        <f t="shared" si="43"/>
        <v>75000</v>
      </c>
      <c r="G482" s="161" t="s">
        <v>1691</v>
      </c>
      <c r="H482" s="142" t="s">
        <v>1002</v>
      </c>
      <c r="I482" s="130" t="str">
        <f>VLOOKUP(H482,Presupuesto!$B$11:$C$565,2,0)</f>
        <v>EQUIPO MEDICO Y LABORATORIO</v>
      </c>
      <c r="J482" s="98" t="str">
        <f t="shared" si="42"/>
        <v>Gestión Administrativa y  financiera en apoyo al Desarrollo Académico</v>
      </c>
      <c r="K482" s="98" t="s">
        <v>400</v>
      </c>
    </row>
    <row r="483" spans="3:11" s="465" customFormat="1" x14ac:dyDescent="0.25">
      <c r="C483" s="666" t="s">
        <v>2395</v>
      </c>
      <c r="D483" s="607">
        <v>1</v>
      </c>
      <c r="E483" s="612">
        <v>14000</v>
      </c>
      <c r="F483" s="97">
        <f t="shared" si="43"/>
        <v>14000</v>
      </c>
      <c r="G483" s="161" t="s">
        <v>1691</v>
      </c>
      <c r="H483" s="142" t="s">
        <v>1002</v>
      </c>
      <c r="I483" s="130" t="str">
        <f>VLOOKUP(H483,Presupuesto!$B$11:$C$565,2,0)</f>
        <v>EQUIPO MEDICO Y LABORATORIO</v>
      </c>
      <c r="J483" s="98" t="str">
        <f t="shared" si="42"/>
        <v>Gestión Administrativa y  financiera en apoyo al Desarrollo Académico</v>
      </c>
      <c r="K483" s="98" t="s">
        <v>400</v>
      </c>
    </row>
    <row r="484" spans="3:11" s="465" customFormat="1" ht="30" x14ac:dyDescent="0.25">
      <c r="C484" s="666" t="s">
        <v>2396</v>
      </c>
      <c r="D484" s="607">
        <v>2</v>
      </c>
      <c r="E484" s="612">
        <v>13000</v>
      </c>
      <c r="F484" s="97">
        <f t="shared" si="43"/>
        <v>26000</v>
      </c>
      <c r="G484" s="161" t="s">
        <v>1691</v>
      </c>
      <c r="H484" s="142" t="s">
        <v>1002</v>
      </c>
      <c r="I484" s="130" t="str">
        <f>VLOOKUP(H484,Presupuesto!$B$11:$C$565,2,0)</f>
        <v>EQUIPO MEDICO Y LABORATORIO</v>
      </c>
      <c r="J484" s="98" t="str">
        <f t="shared" si="42"/>
        <v>Gestión Administrativa y  financiera en apoyo al Desarrollo Académico</v>
      </c>
      <c r="K484" s="98" t="s">
        <v>400</v>
      </c>
    </row>
    <row r="485" spans="3:11" s="465" customFormat="1" ht="30" x14ac:dyDescent="0.25">
      <c r="C485" s="660" t="s">
        <v>2397</v>
      </c>
      <c r="D485" s="607">
        <v>2</v>
      </c>
      <c r="E485" s="612">
        <v>12000</v>
      </c>
      <c r="F485" s="97">
        <f t="shared" si="43"/>
        <v>24000</v>
      </c>
      <c r="G485" s="161" t="s">
        <v>1691</v>
      </c>
      <c r="H485" s="142" t="s">
        <v>1002</v>
      </c>
      <c r="I485" s="130" t="str">
        <f>VLOOKUP(H485,Presupuesto!$B$11:$C$565,2,0)</f>
        <v>EQUIPO MEDICO Y LABORATORIO</v>
      </c>
      <c r="J485" s="98" t="str">
        <f t="shared" si="42"/>
        <v>Gestión Administrativa y  financiera en apoyo al Desarrollo Académico</v>
      </c>
      <c r="K485" s="98" t="s">
        <v>400</v>
      </c>
    </row>
    <row r="486" spans="3:11" s="465" customFormat="1" ht="45" x14ac:dyDescent="0.25">
      <c r="C486" s="667" t="s">
        <v>2398</v>
      </c>
      <c r="D486" s="613">
        <v>1</v>
      </c>
      <c r="E486" s="668">
        <v>160000</v>
      </c>
      <c r="F486" s="97">
        <f t="shared" si="43"/>
        <v>160000</v>
      </c>
      <c r="G486" s="161" t="s">
        <v>1691</v>
      </c>
      <c r="H486" s="142" t="s">
        <v>1002</v>
      </c>
      <c r="I486" s="130" t="str">
        <f>VLOOKUP(H486,Presupuesto!$B$11:$C$565,2,0)</f>
        <v>EQUIPO MEDICO Y LABORATORIO</v>
      </c>
      <c r="J486" s="98" t="str">
        <f t="shared" si="42"/>
        <v>Gestión Administrativa y  financiera en apoyo al Desarrollo Académico</v>
      </c>
      <c r="K486" s="98" t="s">
        <v>400</v>
      </c>
    </row>
    <row r="487" spans="3:11" s="465" customFormat="1" ht="30" x14ac:dyDescent="0.25">
      <c r="C487" s="667" t="s">
        <v>2399</v>
      </c>
      <c r="D487" s="613">
        <v>1</v>
      </c>
      <c r="E487" s="668">
        <v>150000</v>
      </c>
      <c r="F487" s="97">
        <f t="shared" si="43"/>
        <v>150000</v>
      </c>
      <c r="G487" s="161" t="s">
        <v>1691</v>
      </c>
      <c r="H487" s="142" t="s">
        <v>1002</v>
      </c>
      <c r="I487" s="130" t="str">
        <f>VLOOKUP(H487,Presupuesto!$B$11:$C$565,2,0)</f>
        <v>EQUIPO MEDICO Y LABORATORIO</v>
      </c>
      <c r="J487" s="98" t="str">
        <f t="shared" si="42"/>
        <v>Gestión Administrativa y  financiera en apoyo al Desarrollo Académico</v>
      </c>
      <c r="K487" s="98" t="s">
        <v>400</v>
      </c>
    </row>
    <row r="488" spans="3:11" s="465" customFormat="1" ht="30" x14ac:dyDescent="0.25">
      <c r="C488" s="667" t="s">
        <v>2400</v>
      </c>
      <c r="D488" s="613">
        <v>1</v>
      </c>
      <c r="E488" s="668">
        <v>90000</v>
      </c>
      <c r="F488" s="97">
        <f t="shared" si="43"/>
        <v>90000</v>
      </c>
      <c r="G488" s="161" t="s">
        <v>1691</v>
      </c>
      <c r="H488" s="142" t="s">
        <v>1002</v>
      </c>
      <c r="I488" s="130" t="str">
        <f>VLOOKUP(H488,Presupuesto!$B$11:$C$565,2,0)</f>
        <v>EQUIPO MEDICO Y LABORATORIO</v>
      </c>
      <c r="J488" s="98" t="str">
        <f t="shared" si="42"/>
        <v>Gestión Administrativa y  financiera en apoyo al Desarrollo Académico</v>
      </c>
      <c r="K488" s="98" t="s">
        <v>400</v>
      </c>
    </row>
    <row r="489" spans="3:11" s="465" customFormat="1" ht="30" x14ac:dyDescent="0.25">
      <c r="C489" s="667" t="s">
        <v>2401</v>
      </c>
      <c r="D489" s="613">
        <v>1</v>
      </c>
      <c r="E489" s="668">
        <v>290000</v>
      </c>
      <c r="F489" s="97">
        <f t="shared" si="43"/>
        <v>290000</v>
      </c>
      <c r="G489" s="161" t="s">
        <v>1691</v>
      </c>
      <c r="H489" s="142" t="s">
        <v>1002</v>
      </c>
      <c r="I489" s="130" t="str">
        <f>VLOOKUP(H489,Presupuesto!$B$11:$C$565,2,0)</f>
        <v>EQUIPO MEDICO Y LABORATORIO</v>
      </c>
      <c r="J489" s="98" t="str">
        <f t="shared" si="42"/>
        <v>Gestión Administrativa y  financiera en apoyo al Desarrollo Académico</v>
      </c>
      <c r="K489" s="98" t="s">
        <v>400</v>
      </c>
    </row>
    <row r="490" spans="3:11" s="465" customFormat="1" ht="60" x14ac:dyDescent="0.25">
      <c r="C490" s="667" t="s">
        <v>2402</v>
      </c>
      <c r="D490" s="613">
        <v>1</v>
      </c>
      <c r="E490" s="668">
        <v>75000</v>
      </c>
      <c r="F490" s="97">
        <f t="shared" si="43"/>
        <v>75000</v>
      </c>
      <c r="G490" s="161" t="s">
        <v>1691</v>
      </c>
      <c r="H490" s="142" t="s">
        <v>1002</v>
      </c>
      <c r="I490" s="130" t="str">
        <f>VLOOKUP(H490,Presupuesto!$B$11:$C$565,2,0)</f>
        <v>EQUIPO MEDICO Y LABORATORIO</v>
      </c>
      <c r="J490" s="98" t="str">
        <f t="shared" si="42"/>
        <v>Gestión Administrativa y  financiera en apoyo al Desarrollo Académico</v>
      </c>
      <c r="K490" s="98" t="s">
        <v>400</v>
      </c>
    </row>
    <row r="491" spans="3:11" s="465" customFormat="1" x14ac:dyDescent="0.25">
      <c r="C491" s="667" t="s">
        <v>2403</v>
      </c>
      <c r="D491" s="613">
        <v>1</v>
      </c>
      <c r="E491" s="669">
        <v>299704.870301747</v>
      </c>
      <c r="F491" s="97">
        <f t="shared" si="43"/>
        <v>299704.870301747</v>
      </c>
      <c r="G491" s="161" t="s">
        <v>1691</v>
      </c>
      <c r="H491" s="142" t="s">
        <v>1002</v>
      </c>
      <c r="I491" s="130" t="str">
        <f>VLOOKUP(H491,Presupuesto!$B$11:$C$565,2,0)</f>
        <v>EQUIPO MEDICO Y LABORATORIO</v>
      </c>
      <c r="J491" s="98" t="str">
        <f t="shared" si="42"/>
        <v>Gestión Administrativa y  financiera en apoyo al Desarrollo Académico</v>
      </c>
      <c r="K491" s="98" t="s">
        <v>400</v>
      </c>
    </row>
    <row r="492" spans="3:11" s="465" customFormat="1" x14ac:dyDescent="0.25">
      <c r="C492" s="667" t="s">
        <v>2404</v>
      </c>
      <c r="D492" s="613">
        <v>1</v>
      </c>
      <c r="E492" s="669">
        <v>66605</v>
      </c>
      <c r="F492" s="97">
        <f t="shared" si="43"/>
        <v>66605</v>
      </c>
      <c r="G492" s="161" t="s">
        <v>1691</v>
      </c>
      <c r="H492" s="142" t="s">
        <v>1002</v>
      </c>
      <c r="I492" s="130" t="str">
        <f>VLOOKUP(H492,Presupuesto!$B$11:$C$565,2,0)</f>
        <v>EQUIPO MEDICO Y LABORATORIO</v>
      </c>
      <c r="J492" s="98" t="str">
        <f t="shared" si="42"/>
        <v>Gestión Administrativa y  financiera en apoyo al Desarrollo Académico</v>
      </c>
      <c r="K492" s="98" t="s">
        <v>400</v>
      </c>
    </row>
    <row r="493" spans="3:11" s="465" customFormat="1" x14ac:dyDescent="0.25">
      <c r="C493" s="667" t="s">
        <v>2405</v>
      </c>
      <c r="D493" s="613">
        <v>1</v>
      </c>
      <c r="E493" s="669">
        <v>1617.5500000000002</v>
      </c>
      <c r="F493" s="97">
        <f t="shared" si="43"/>
        <v>1617.5500000000002</v>
      </c>
      <c r="G493" s="161" t="s">
        <v>1691</v>
      </c>
      <c r="H493" s="142" t="s">
        <v>1002</v>
      </c>
      <c r="I493" s="130" t="str">
        <f>VLOOKUP(H493,Presupuesto!$B$11:$C$565,2,0)</f>
        <v>EQUIPO MEDICO Y LABORATORIO</v>
      </c>
      <c r="J493" s="98" t="str">
        <f t="shared" si="42"/>
        <v>Gestión Administrativa y  financiera en apoyo al Desarrollo Académico</v>
      </c>
      <c r="K493" s="98" t="s">
        <v>400</v>
      </c>
    </row>
    <row r="494" spans="3:11" s="465" customFormat="1" x14ac:dyDescent="0.25">
      <c r="C494" s="667" t="s">
        <v>2406</v>
      </c>
      <c r="D494" s="613">
        <v>1</v>
      </c>
      <c r="E494" s="669">
        <v>19030</v>
      </c>
      <c r="F494" s="97">
        <f t="shared" si="43"/>
        <v>19030</v>
      </c>
      <c r="G494" s="161" t="s">
        <v>1691</v>
      </c>
      <c r="H494" s="142" t="s">
        <v>1002</v>
      </c>
      <c r="I494" s="130" t="str">
        <f>VLOOKUP(H494,Presupuesto!$B$11:$C$565,2,0)</f>
        <v>EQUIPO MEDICO Y LABORATORIO</v>
      </c>
      <c r="J494" s="98" t="str">
        <f t="shared" si="42"/>
        <v>Gestión Administrativa y  financiera en apoyo al Desarrollo Académico</v>
      </c>
      <c r="K494" s="98" t="s">
        <v>400</v>
      </c>
    </row>
    <row r="495" spans="3:11" s="465" customFormat="1" x14ac:dyDescent="0.25">
      <c r="C495" s="667" t="s">
        <v>2407</v>
      </c>
      <c r="D495" s="613">
        <v>1</v>
      </c>
      <c r="E495" s="669">
        <v>2816.44</v>
      </c>
      <c r="F495" s="97">
        <f t="shared" si="43"/>
        <v>2816.44</v>
      </c>
      <c r="G495" s="161" t="s">
        <v>1691</v>
      </c>
      <c r="H495" s="142" t="s">
        <v>1002</v>
      </c>
      <c r="I495" s="130" t="str">
        <f>VLOOKUP(H495,Presupuesto!$B$11:$C$565,2,0)</f>
        <v>EQUIPO MEDICO Y LABORATORIO</v>
      </c>
      <c r="J495" s="98" t="str">
        <f t="shared" si="42"/>
        <v>Gestión Administrativa y  financiera en apoyo al Desarrollo Académico</v>
      </c>
      <c r="K495" s="98" t="s">
        <v>400</v>
      </c>
    </row>
    <row r="496" spans="3:11" s="465" customFormat="1" x14ac:dyDescent="0.25">
      <c r="C496" s="667" t="s">
        <v>2408</v>
      </c>
      <c r="D496" s="613">
        <v>1</v>
      </c>
      <c r="E496" s="669">
        <v>66605</v>
      </c>
      <c r="F496" s="97">
        <f t="shared" si="43"/>
        <v>66605</v>
      </c>
      <c r="G496" s="161" t="s">
        <v>1691</v>
      </c>
      <c r="H496" s="142" t="s">
        <v>1002</v>
      </c>
      <c r="I496" s="130" t="str">
        <f>VLOOKUP(H496,Presupuesto!$B$11:$C$565,2,0)</f>
        <v>EQUIPO MEDICO Y LABORATORIO</v>
      </c>
      <c r="J496" s="98" t="str">
        <f t="shared" si="42"/>
        <v>Gestión Administrativa y  financiera en apoyo al Desarrollo Académico</v>
      </c>
      <c r="K496" s="98" t="s">
        <v>400</v>
      </c>
    </row>
    <row r="497" spans="3:11" s="465" customFormat="1" x14ac:dyDescent="0.25">
      <c r="C497" s="670" t="s">
        <v>2409</v>
      </c>
      <c r="D497" s="671">
        <v>2</v>
      </c>
      <c r="E497" s="672">
        <v>627.99</v>
      </c>
      <c r="F497" s="97">
        <f t="shared" si="43"/>
        <v>1255.98</v>
      </c>
      <c r="G497" s="161" t="s">
        <v>1691</v>
      </c>
      <c r="H497" s="142" t="s">
        <v>1052</v>
      </c>
      <c r="I497" s="130" t="str">
        <f>VLOOKUP(H497,Presupuesto!$B$11:$C$565,2,0)</f>
        <v>CONSTRUCCIONES Y MEJORAS DE BIENES NACIONALES EN DOMINIO PRIVADO</v>
      </c>
      <c r="J497" s="98" t="str">
        <f t="shared" si="42"/>
        <v>Gestión Administrativa y  financiera en apoyo al Desarrollo Académico</v>
      </c>
      <c r="K497" s="98" t="s">
        <v>400</v>
      </c>
    </row>
    <row r="498" spans="3:11" s="465" customFormat="1" x14ac:dyDescent="0.25">
      <c r="C498" s="670" t="s">
        <v>2410</v>
      </c>
      <c r="D498" s="671">
        <v>4</v>
      </c>
      <c r="E498" s="672">
        <v>627.99</v>
      </c>
      <c r="F498" s="97">
        <f t="shared" si="43"/>
        <v>2511.96</v>
      </c>
      <c r="G498" s="161" t="s">
        <v>1691</v>
      </c>
      <c r="H498" s="142" t="s">
        <v>1052</v>
      </c>
      <c r="I498" s="130" t="str">
        <f>VLOOKUP(H498,Presupuesto!$B$11:$C$565,2,0)</f>
        <v>CONSTRUCCIONES Y MEJORAS DE BIENES NACIONALES EN DOMINIO PRIVADO</v>
      </c>
      <c r="J498" s="98" t="str">
        <f t="shared" si="42"/>
        <v>Gestión Administrativa y  financiera en apoyo al Desarrollo Académico</v>
      </c>
      <c r="K498" s="98" t="s">
        <v>400</v>
      </c>
    </row>
    <row r="499" spans="3:11" s="465" customFormat="1" x14ac:dyDescent="0.25">
      <c r="C499" s="670" t="s">
        <v>2411</v>
      </c>
      <c r="D499" s="671">
        <v>4</v>
      </c>
      <c r="E499" s="672">
        <v>570.90000000000009</v>
      </c>
      <c r="F499" s="97">
        <f t="shared" si="43"/>
        <v>2283.6000000000004</v>
      </c>
      <c r="G499" s="161" t="s">
        <v>1691</v>
      </c>
      <c r="H499" s="142" t="s">
        <v>1052</v>
      </c>
      <c r="I499" s="130" t="str">
        <f>VLOOKUP(H499,Presupuesto!$B$11:$C$565,2,0)</f>
        <v>CONSTRUCCIONES Y MEJORAS DE BIENES NACIONALES EN DOMINIO PRIVADO</v>
      </c>
      <c r="J499" s="98" t="str">
        <f t="shared" si="42"/>
        <v>Gestión Administrativa y  financiera en apoyo al Desarrollo Académico</v>
      </c>
      <c r="K499" s="98" t="s">
        <v>400</v>
      </c>
    </row>
    <row r="500" spans="3:11" s="465" customFormat="1" x14ac:dyDescent="0.25">
      <c r="C500" s="670" t="s">
        <v>2408</v>
      </c>
      <c r="D500" s="671">
        <v>1</v>
      </c>
      <c r="E500" s="672">
        <v>66605</v>
      </c>
      <c r="F500" s="97">
        <f t="shared" si="43"/>
        <v>66605</v>
      </c>
      <c r="G500" s="161" t="s">
        <v>1691</v>
      </c>
      <c r="H500" s="142" t="s">
        <v>1052</v>
      </c>
      <c r="I500" s="130" t="str">
        <f>VLOOKUP(H500,Presupuesto!$B$11:$C$565,2,0)</f>
        <v>CONSTRUCCIONES Y MEJORAS DE BIENES NACIONALES EN DOMINIO PRIVADO</v>
      </c>
      <c r="J500" s="98" t="str">
        <f t="shared" si="42"/>
        <v>Gestión Administrativa y  financiera en apoyo al Desarrollo Académico</v>
      </c>
      <c r="K500" s="98" t="s">
        <v>400</v>
      </c>
    </row>
    <row r="501" spans="3:11" s="465" customFormat="1" x14ac:dyDescent="0.25">
      <c r="C501" s="670" t="s">
        <v>2412</v>
      </c>
      <c r="D501" s="671">
        <v>1</v>
      </c>
      <c r="E501" s="672">
        <v>666.05000000000007</v>
      </c>
      <c r="F501" s="97">
        <f t="shared" si="43"/>
        <v>666.05000000000007</v>
      </c>
      <c r="G501" s="161" t="s">
        <v>1691</v>
      </c>
      <c r="H501" s="142" t="s">
        <v>1052</v>
      </c>
      <c r="I501" s="130" t="str">
        <f>VLOOKUP(H501,Presupuesto!$B$11:$C$565,2,0)</f>
        <v>CONSTRUCCIONES Y MEJORAS DE BIENES NACIONALES EN DOMINIO PRIVADO</v>
      </c>
      <c r="J501" s="98" t="str">
        <f t="shared" si="42"/>
        <v>Gestión Administrativa y  financiera en apoyo al Desarrollo Académico</v>
      </c>
      <c r="K501" s="98" t="s">
        <v>400</v>
      </c>
    </row>
    <row r="502" spans="3:11" s="465" customFormat="1" x14ac:dyDescent="0.25">
      <c r="C502" s="670" t="s">
        <v>2413</v>
      </c>
      <c r="D502" s="671">
        <v>1</v>
      </c>
      <c r="E502" s="672">
        <v>666.05000000000007</v>
      </c>
      <c r="F502" s="97">
        <f t="shared" si="43"/>
        <v>666.05000000000007</v>
      </c>
      <c r="G502" s="161" t="s">
        <v>1691</v>
      </c>
      <c r="H502" s="142" t="s">
        <v>1052</v>
      </c>
      <c r="I502" s="130" t="str">
        <f>VLOOKUP(H502,Presupuesto!$B$11:$C$565,2,0)</f>
        <v>CONSTRUCCIONES Y MEJORAS DE BIENES NACIONALES EN DOMINIO PRIVADO</v>
      </c>
      <c r="J502" s="98" t="str">
        <f t="shared" si="42"/>
        <v>Gestión Administrativa y  financiera en apoyo al Desarrollo Académico</v>
      </c>
      <c r="K502" s="98" t="s">
        <v>400</v>
      </c>
    </row>
    <row r="503" spans="3:11" s="465" customFormat="1" x14ac:dyDescent="0.25">
      <c r="C503" s="670" t="s">
        <v>2414</v>
      </c>
      <c r="D503" s="671">
        <v>1</v>
      </c>
      <c r="E503" s="672">
        <v>761.2</v>
      </c>
      <c r="F503" s="97">
        <f t="shared" si="43"/>
        <v>761.2</v>
      </c>
      <c r="G503" s="161" t="s">
        <v>1691</v>
      </c>
      <c r="H503" s="142" t="s">
        <v>1052</v>
      </c>
      <c r="I503" s="130" t="str">
        <f>VLOOKUP(H503,Presupuesto!$B$11:$C$565,2,0)</f>
        <v>CONSTRUCCIONES Y MEJORAS DE BIENES NACIONALES EN DOMINIO PRIVADO</v>
      </c>
      <c r="J503" s="98" t="str">
        <f t="shared" si="42"/>
        <v>Gestión Administrativa y  financiera en apoyo al Desarrollo Académico</v>
      </c>
      <c r="K503" s="98" t="s">
        <v>400</v>
      </c>
    </row>
    <row r="504" spans="3:11" s="465" customFormat="1" x14ac:dyDescent="0.25">
      <c r="C504" s="670" t="s">
        <v>2415</v>
      </c>
      <c r="D504" s="671">
        <v>1</v>
      </c>
      <c r="E504" s="672">
        <v>666.05000000000007</v>
      </c>
      <c r="F504" s="97">
        <f t="shared" si="43"/>
        <v>666.05000000000007</v>
      </c>
      <c r="G504" s="161" t="s">
        <v>1691</v>
      </c>
      <c r="H504" s="142" t="s">
        <v>1052</v>
      </c>
      <c r="I504" s="130" t="str">
        <f>VLOOKUP(H504,Presupuesto!$B$11:$C$565,2,0)</f>
        <v>CONSTRUCCIONES Y MEJORAS DE BIENES NACIONALES EN DOMINIO PRIVADO</v>
      </c>
      <c r="J504" s="98" t="str">
        <f t="shared" si="42"/>
        <v>Gestión Administrativa y  financiera en apoyo al Desarrollo Académico</v>
      </c>
      <c r="K504" s="98" t="s">
        <v>400</v>
      </c>
    </row>
    <row r="505" spans="3:11" s="465" customFormat="1" x14ac:dyDescent="0.25">
      <c r="C505" s="670" t="s">
        <v>2416</v>
      </c>
      <c r="D505" s="671">
        <v>1</v>
      </c>
      <c r="E505" s="672">
        <v>1617.5500000000002</v>
      </c>
      <c r="F505" s="97">
        <f t="shared" si="43"/>
        <v>1617.5500000000002</v>
      </c>
      <c r="G505" s="161" t="s">
        <v>1691</v>
      </c>
      <c r="H505" s="142" t="s">
        <v>1052</v>
      </c>
      <c r="I505" s="130" t="str">
        <f>VLOOKUP(H505,Presupuesto!$B$11:$C$565,2,0)</f>
        <v>CONSTRUCCIONES Y MEJORAS DE BIENES NACIONALES EN DOMINIO PRIVADO</v>
      </c>
      <c r="J505" s="98" t="str">
        <f t="shared" si="42"/>
        <v>Gestión Administrativa y  financiera en apoyo al Desarrollo Académico</v>
      </c>
      <c r="K505" s="98" t="s">
        <v>400</v>
      </c>
    </row>
    <row r="506" spans="3:11" s="465" customFormat="1" ht="30" x14ac:dyDescent="0.25">
      <c r="C506" s="673" t="s">
        <v>2417</v>
      </c>
      <c r="D506" s="671">
        <v>1</v>
      </c>
      <c r="E506" s="672">
        <v>1427.25</v>
      </c>
      <c r="F506" s="97">
        <f t="shared" si="43"/>
        <v>1427.25</v>
      </c>
      <c r="G506" s="161" t="s">
        <v>1691</v>
      </c>
      <c r="H506" s="142" t="s">
        <v>1052</v>
      </c>
      <c r="I506" s="130" t="str">
        <f>VLOOKUP(H506,Presupuesto!$B$11:$C$565,2,0)</f>
        <v>CONSTRUCCIONES Y MEJORAS DE BIENES NACIONALES EN DOMINIO PRIVADO</v>
      </c>
      <c r="J506" s="98" t="str">
        <f t="shared" si="42"/>
        <v>Gestión Administrativa y  financiera en apoyo al Desarrollo Académico</v>
      </c>
      <c r="K506" s="98" t="s">
        <v>400</v>
      </c>
    </row>
    <row r="507" spans="3:11" s="465" customFormat="1" ht="30" x14ac:dyDescent="0.25">
      <c r="C507" s="673" t="s">
        <v>2418</v>
      </c>
      <c r="D507" s="671">
        <v>1</v>
      </c>
      <c r="E507" s="672">
        <v>133210</v>
      </c>
      <c r="F507" s="97">
        <f t="shared" si="43"/>
        <v>133210</v>
      </c>
      <c r="G507" s="161" t="s">
        <v>1691</v>
      </c>
      <c r="H507" s="142" t="s">
        <v>1052</v>
      </c>
      <c r="I507" s="130" t="str">
        <f>VLOOKUP(H507,Presupuesto!$B$11:$C$565,2,0)</f>
        <v>CONSTRUCCIONES Y MEJORAS DE BIENES NACIONALES EN DOMINIO PRIVADO</v>
      </c>
      <c r="J507" s="98" t="str">
        <f t="shared" si="42"/>
        <v>Gestión Administrativa y  financiera en apoyo al Desarrollo Académico</v>
      </c>
      <c r="K507" s="98" t="s">
        <v>400</v>
      </c>
    </row>
    <row r="509" spans="3:11" ht="15.75" thickBot="1" x14ac:dyDescent="0.3"/>
    <row r="510" spans="3:11" ht="15.75" thickBot="1" x14ac:dyDescent="0.3">
      <c r="C510" s="157" t="s">
        <v>53</v>
      </c>
      <c r="D510" s="372">
        <f>SUM(F517:F517)</f>
        <v>30000</v>
      </c>
      <c r="E510" s="465"/>
      <c r="F510" s="70"/>
      <c r="G510" s="79"/>
      <c r="H510" s="70"/>
      <c r="I510" s="70"/>
      <c r="J510" s="465"/>
      <c r="K510" s="465"/>
    </row>
    <row r="511" spans="3:11" x14ac:dyDescent="0.25">
      <c r="C511" s="70"/>
      <c r="D511" s="31"/>
      <c r="E511" s="93"/>
      <c r="F511" s="93"/>
      <c r="G511" s="93"/>
      <c r="H511" s="76"/>
      <c r="I511" s="76"/>
      <c r="J511" s="76"/>
      <c r="K511" s="112"/>
    </row>
    <row r="512" spans="3:11" x14ac:dyDescent="0.25">
      <c r="C512" s="70"/>
      <c r="D512" s="31"/>
      <c r="E512" s="93"/>
      <c r="F512" s="93"/>
      <c r="G512" s="93"/>
      <c r="H512" s="76"/>
      <c r="I512" s="76"/>
      <c r="J512" s="76"/>
      <c r="K512" s="112"/>
    </row>
    <row r="513" spans="3:11" ht="15.75" x14ac:dyDescent="0.25">
      <c r="C513" s="202" t="s">
        <v>391</v>
      </c>
      <c r="D513" s="368" t="s">
        <v>2428</v>
      </c>
      <c r="E513" s="93"/>
      <c r="F513" s="93"/>
      <c r="G513" s="93"/>
      <c r="H513" s="76"/>
      <c r="I513" s="76"/>
      <c r="J513" s="76"/>
      <c r="K513" s="112"/>
    </row>
    <row r="514" spans="3:11" ht="18.75" x14ac:dyDescent="0.25">
      <c r="C514" s="210" t="str">
        <f>IFERROR(VLOOKUP(D513,'1. Desarrollo e Innov. Curricu.'!$F:$G,2,FALSE),IFERROR(VLOOKUP(D513,'2. Investigación Científica'!$F:$G,2,FALSE),IFERROR(VLOOKUP(D513,'3. Vinculación Univ. Sociedad'!$F:$G,2,FALSE),IFERROR(VLOOKUP(D513,'4. Docencia y Profesorado Univ.'!$F:$G,2,FALSE),IFERROR(VLOOKUP(D513,'5. Estudiantes y Graduados'!$F:$G,2,FALSE),IFERROR(VLOOKUP(D513,'11. Gestion Administrativa'!$F:$G,2,FALSE),IFERROR(VLOOKUP(D513,'13. Gestión Académica'!$F:$G,2,FALSE),IFERROR(VLOOKUP(D513,'9. Asegura. de la Calid. y M'!$F:$G,2,FALSE),IFERROR(VLOOKUP(D513,'6. Gestión del Conocimiento'!$F:$G,2,FALSE),IFERROR(VLOOKUP(D513,'15. Gobernabilidad y Proceso...'!$F:$G,2,FALSE),IFERROR(VLOOKUP(D513,'12. Gestión del Talento Humano'!$F:$G,2,FALSE),IFERROR(VLOOKUP(D513,'14. Internacional... de la E.S.'!$F:$G,2,FALSE),IFERROR(VLOOKUP(D513,'10. Posgrado'!$F:$G,2,FALSE),IFERROR(VLOOKUP(D513,'17. Gestión TIC'!$F:$G,2,FALSE),IFERROR(VLOOKUP(D513,'16. Desa. del Sistema Educ.Sup.'!$F:$G,2,FALSE),IFERROR(VLOOKUP(D513,'8. Cultura de Inno. Insti...'!$F:$G,2,FALSE),VLOOKUP(D513,'7. Lo Esencial de la Reforma U.'!$F:$G,2,0)))))))))))))))))</f>
        <v>realizacion de una gira educativas Nacional a zonas que cuentan con cultivos y procesos industrializados que la zona oriental no cuenta.</v>
      </c>
      <c r="D514" s="31"/>
      <c r="E514" s="93"/>
      <c r="F514" s="93"/>
      <c r="G514" s="93"/>
      <c r="H514" s="76"/>
      <c r="I514" s="76"/>
      <c r="J514" s="76"/>
      <c r="K514" s="112"/>
    </row>
    <row r="515" spans="3:11" ht="15.75" thickBot="1" x14ac:dyDescent="0.3">
      <c r="C515" s="465"/>
      <c r="D515" s="465"/>
      <c r="E515" s="465"/>
      <c r="F515" s="93"/>
      <c r="G515" s="76"/>
      <c r="H515" s="76"/>
      <c r="I515" s="76"/>
      <c r="J515" s="465"/>
      <c r="K515" s="465"/>
    </row>
    <row r="516" spans="3:11" ht="30.75" thickBot="1" x14ac:dyDescent="0.3">
      <c r="C516" s="129" t="s">
        <v>44</v>
      </c>
      <c r="D516" s="129" t="s">
        <v>55</v>
      </c>
      <c r="E516" s="136" t="s">
        <v>57</v>
      </c>
      <c r="F516" s="135" t="s">
        <v>27</v>
      </c>
      <c r="G516" s="133" t="s">
        <v>130</v>
      </c>
      <c r="H516" s="136" t="s">
        <v>46</v>
      </c>
      <c r="I516" s="133" t="s">
        <v>131</v>
      </c>
      <c r="J516" s="133" t="s">
        <v>409</v>
      </c>
      <c r="K516" s="133" t="s">
        <v>410</v>
      </c>
    </row>
    <row r="517" spans="3:11" x14ac:dyDescent="0.25">
      <c r="C517" s="220" t="s">
        <v>427</v>
      </c>
      <c r="D517" s="221">
        <f>+(2.5*2)*3</f>
        <v>15</v>
      </c>
      <c r="E517" s="219">
        <f>HLOOKUP(C517,$AH$2:$BU$3,2,0)</f>
        <v>2000</v>
      </c>
      <c r="F517" s="97">
        <f t="shared" ref="F517" si="44">D517*E517</f>
        <v>30000</v>
      </c>
      <c r="G517" s="161" t="s">
        <v>128</v>
      </c>
      <c r="H517" s="142" t="s">
        <v>760</v>
      </c>
      <c r="I517" s="130" t="str">
        <f>VLOOKUP(H517,Presupuesto!$B$11:$C$565,2,0)</f>
        <v>VIATICOS NACIONALES</v>
      </c>
      <c r="J517" s="218" t="s">
        <v>1363</v>
      </c>
      <c r="K517" s="98" t="s">
        <v>393</v>
      </c>
    </row>
    <row r="520" spans="3:11" ht="15.75" thickBot="1" x14ac:dyDescent="0.3"/>
    <row r="521" spans="3:11" ht="15.75" thickBot="1" x14ac:dyDescent="0.3">
      <c r="C521" s="157" t="s">
        <v>53</v>
      </c>
      <c r="D521" s="372">
        <f>SUM(F528:F529)</f>
        <v>12600</v>
      </c>
      <c r="E521" s="465"/>
      <c r="F521" s="70"/>
      <c r="G521" s="79"/>
      <c r="H521" s="70"/>
      <c r="I521" s="70"/>
      <c r="J521" s="465"/>
      <c r="K521" s="465"/>
    </row>
    <row r="522" spans="3:11" x14ac:dyDescent="0.25">
      <c r="C522" s="70"/>
      <c r="D522" s="31"/>
      <c r="E522" s="93"/>
      <c r="F522" s="93"/>
      <c r="G522" s="93"/>
      <c r="H522" s="76"/>
      <c r="I522" s="76"/>
      <c r="J522" s="76"/>
      <c r="K522" s="112"/>
    </row>
    <row r="523" spans="3:11" x14ac:dyDescent="0.25">
      <c r="C523" s="70"/>
      <c r="D523" s="31"/>
      <c r="E523" s="93"/>
      <c r="F523" s="93"/>
      <c r="G523" s="93"/>
      <c r="H523" s="76"/>
      <c r="I523" s="76"/>
      <c r="J523" s="76"/>
      <c r="K523" s="112"/>
    </row>
    <row r="524" spans="3:11" ht="15.75" x14ac:dyDescent="0.25">
      <c r="C524" s="202" t="s">
        <v>391</v>
      </c>
      <c r="D524" s="368" t="s">
        <v>2449</v>
      </c>
      <c r="E524" s="93"/>
      <c r="F524" s="93"/>
      <c r="G524" s="93"/>
      <c r="H524" s="76"/>
      <c r="I524" s="76"/>
      <c r="J524" s="76"/>
      <c r="K524" s="112"/>
    </row>
    <row r="525" spans="3:11" ht="18.75" x14ac:dyDescent="0.25">
      <c r="C525" s="210" t="str">
        <f>IFERROR(VLOOKUP(D524,'1. Desarrollo e Innov. Curricu.'!$F:$G,2,FALSE),IFERROR(VLOOKUP(D524,'2. Investigación Científica'!$F:$G,2,FALSE),IFERROR(VLOOKUP(D524,'3. Vinculación Univ. Sociedad'!$F:$G,2,FALSE),IFERROR(VLOOKUP(D524,'4. Docencia y Profesorado Univ.'!$F:$G,2,FALSE),IFERROR(VLOOKUP(D524,'5. Estudiantes y Graduados'!$F:$G,2,FALSE),IFERROR(VLOOKUP(D524,'11. Gestion Administrativa'!$F:$G,2,FALSE),IFERROR(VLOOKUP(D524,'13. Gestión Académica'!$F:$G,2,FALSE),IFERROR(VLOOKUP(D524,'9. Asegura. de la Calid. y M'!$F:$G,2,FALSE),IFERROR(VLOOKUP(D524,'6. Gestión del Conocimiento'!$F:$G,2,FALSE),IFERROR(VLOOKUP(D524,'15. Gobernabilidad y Proceso...'!$F:$G,2,FALSE),IFERROR(VLOOKUP(D524,'12. Gestión del Talento Humano'!$F:$G,2,FALSE),IFERROR(VLOOKUP(D524,'14. Internacional... de la E.S.'!$F:$G,2,FALSE),IFERROR(VLOOKUP(D524,'10. Posgrado'!$F:$G,2,FALSE),IFERROR(VLOOKUP(D524,'17. Gestión TIC'!$F:$G,2,FALSE),IFERROR(VLOOKUP(D524,'16. Desa. del Sistema Educ.Sup.'!$F:$G,2,FALSE),IFERROR(VLOOKUP(D524,'8. Cultura de Inno. Insti...'!$F:$G,2,FALSE),VLOOKUP(D524,'7. Lo Esencial de la Reforma U.'!$F:$G,2,0)))))))))))))))))</f>
        <v>Intercambio, juntas, reuniones con la VRI para fortalecimiento de la internacionalizacion de UNAH-TEC-DANLI.</v>
      </c>
      <c r="D525" s="31"/>
      <c r="E525" s="93"/>
      <c r="F525" s="93"/>
      <c r="G525" s="93"/>
      <c r="H525" s="76"/>
      <c r="I525" s="76"/>
      <c r="J525" s="76"/>
      <c r="K525" s="112"/>
    </row>
    <row r="526" spans="3:11" ht="15.75" thickBot="1" x14ac:dyDescent="0.3">
      <c r="C526" s="465"/>
      <c r="D526" s="465"/>
      <c r="E526" s="465"/>
      <c r="F526" s="93"/>
      <c r="G526" s="76"/>
      <c r="H526" s="76"/>
      <c r="I526" s="76"/>
      <c r="J526" s="465"/>
      <c r="K526" s="465"/>
    </row>
    <row r="527" spans="3:11" ht="30.75" thickBot="1" x14ac:dyDescent="0.3">
      <c r="C527" s="129" t="s">
        <v>44</v>
      </c>
      <c r="D527" s="129" t="s">
        <v>55</v>
      </c>
      <c r="E527" s="136" t="s">
        <v>57</v>
      </c>
      <c r="F527" s="135" t="s">
        <v>27</v>
      </c>
      <c r="G527" s="133" t="s">
        <v>130</v>
      </c>
      <c r="H527" s="136" t="s">
        <v>46</v>
      </c>
      <c r="I527" s="133" t="s">
        <v>131</v>
      </c>
      <c r="J527" s="133" t="s">
        <v>409</v>
      </c>
      <c r="K527" s="133" t="s">
        <v>410</v>
      </c>
    </row>
    <row r="528" spans="3:11" x14ac:dyDescent="0.25">
      <c r="C528" s="220" t="s">
        <v>427</v>
      </c>
      <c r="D528" s="221">
        <f>0.75*6</f>
        <v>4.5</v>
      </c>
      <c r="E528" s="219">
        <f>HLOOKUP(C528,$AH$2:$BU$3,2,0)</f>
        <v>2000</v>
      </c>
      <c r="F528" s="97">
        <f t="shared" ref="F528:F529" si="45">D528*E528</f>
        <v>9000</v>
      </c>
      <c r="G528" s="161" t="s">
        <v>128</v>
      </c>
      <c r="H528" s="142" t="s">
        <v>760</v>
      </c>
      <c r="I528" s="130" t="str">
        <f>VLOOKUP(H528,Presupuesto!$B$11:$C$565,2,0)</f>
        <v>VIATICOS NACIONALES</v>
      </c>
      <c r="J528" s="218" t="s">
        <v>1366</v>
      </c>
      <c r="K528" s="98" t="s">
        <v>393</v>
      </c>
    </row>
    <row r="529" spans="3:11" x14ac:dyDescent="0.25">
      <c r="C529" s="567" t="s">
        <v>2154</v>
      </c>
      <c r="D529" s="607">
        <v>6</v>
      </c>
      <c r="E529" s="608">
        <v>600</v>
      </c>
      <c r="F529" s="97">
        <f t="shared" si="45"/>
        <v>3600</v>
      </c>
      <c r="G529" s="161" t="s">
        <v>128</v>
      </c>
      <c r="H529" s="142" t="s">
        <v>870</v>
      </c>
      <c r="I529" s="130" t="str">
        <f>VLOOKUP(H529,Presupuesto!$B$11:$C$565,2,0)</f>
        <v>GASOLINA</v>
      </c>
      <c r="J529" s="218" t="s">
        <v>1366</v>
      </c>
      <c r="K529" s="98" t="s">
        <v>411</v>
      </c>
    </row>
    <row r="532" spans="3:11" ht="15.75" thickBot="1" x14ac:dyDescent="0.3"/>
    <row r="533" spans="3:11" ht="15.75" thickBot="1" x14ac:dyDescent="0.3">
      <c r="C533" s="157" t="s">
        <v>53</v>
      </c>
      <c r="D533" s="372">
        <f>SUM(F540:F543)</f>
        <v>48459.050999999999</v>
      </c>
      <c r="E533" s="465"/>
      <c r="F533" s="70"/>
      <c r="G533" s="79"/>
      <c r="H533" s="70"/>
      <c r="I533" s="70"/>
      <c r="J533" s="465"/>
      <c r="K533" s="465"/>
    </row>
    <row r="534" spans="3:11" x14ac:dyDescent="0.25">
      <c r="C534" s="70"/>
      <c r="D534" s="31"/>
      <c r="E534" s="93"/>
      <c r="F534" s="93"/>
      <c r="G534" s="93"/>
      <c r="H534" s="76"/>
      <c r="I534" s="76"/>
      <c r="J534" s="76"/>
      <c r="K534" s="112"/>
    </row>
    <row r="535" spans="3:11" x14ac:dyDescent="0.25">
      <c r="C535" s="70"/>
      <c r="D535" s="31"/>
      <c r="E535" s="93"/>
      <c r="F535" s="93"/>
      <c r="G535" s="93"/>
      <c r="H535" s="76"/>
      <c r="I535" s="76"/>
      <c r="J535" s="76"/>
      <c r="K535" s="112"/>
    </row>
    <row r="536" spans="3:11" ht="15.75" x14ac:dyDescent="0.25">
      <c r="C536" s="202" t="s">
        <v>391</v>
      </c>
      <c r="D536" s="368" t="s">
        <v>2451</v>
      </c>
      <c r="E536" s="93"/>
      <c r="F536" s="93"/>
      <c r="G536" s="93"/>
      <c r="H536" s="76"/>
      <c r="I536" s="76"/>
      <c r="J536" s="76"/>
      <c r="K536" s="112"/>
    </row>
    <row r="537" spans="3:11" ht="18.75" x14ac:dyDescent="0.25">
      <c r="C537" s="210" t="str">
        <f>IFERROR(VLOOKUP(D536,'1. Desarrollo e Innov. Curricu.'!$F:$G,2,FALSE),IFERROR(VLOOKUP(D536,'2. Investigación Científica'!$F:$G,2,FALSE),IFERROR(VLOOKUP(D536,'3. Vinculación Univ. Sociedad'!$F:$G,2,FALSE),IFERROR(VLOOKUP(D536,'4. Docencia y Profesorado Univ.'!$F:$G,2,FALSE),IFERROR(VLOOKUP(D536,'5. Estudiantes y Graduados'!$F:$G,2,FALSE),IFERROR(VLOOKUP(D536,'11. Gestion Administrativa'!$F:$G,2,FALSE),IFERROR(VLOOKUP(D536,'13. Gestión Académica'!$F:$G,2,FALSE),IFERROR(VLOOKUP(D536,'9. Asegura. de la Calid. y M'!$F:$G,2,FALSE),IFERROR(VLOOKUP(D536,'6. Gestión del Conocimiento'!$F:$G,2,FALSE),IFERROR(VLOOKUP(D536,'15. Gobernabilidad y Proceso...'!$F:$G,2,FALSE),IFERROR(VLOOKUP(D536,'12. Gestión del Talento Humano'!$F:$G,2,FALSE),IFERROR(VLOOKUP(D536,'14. Internacional... de la E.S.'!$F:$G,2,FALSE),IFERROR(VLOOKUP(D536,'10. Posgrado'!$F:$G,2,FALSE),IFERROR(VLOOKUP(D536,'17. Gestión TIC'!$F:$G,2,FALSE),IFERROR(VLOOKUP(D536,'16. Desa. del Sistema Educ.Sup.'!$F:$G,2,FALSE),IFERROR(VLOOKUP(D536,'8. Cultura de Inno. Insti...'!$F:$G,2,FALSE),VLOOKUP(D536,'7. Lo Esencial de la Reforma U.'!$F:$G,2,0)))))))))))))))))</f>
        <v xml:space="preserve">Gestionar capacitacion a docentes de la carrera de agroindustria en eventos nacionales e internacionales en el area </v>
      </c>
      <c r="D537" s="31"/>
      <c r="E537" s="93"/>
      <c r="F537" s="93"/>
      <c r="G537" s="93"/>
      <c r="H537" s="76"/>
      <c r="I537" s="76"/>
      <c r="J537" s="76"/>
      <c r="K537" s="112"/>
    </row>
    <row r="538" spans="3:11" ht="15.75" thickBot="1" x14ac:dyDescent="0.3">
      <c r="C538" s="465"/>
      <c r="D538" s="465"/>
      <c r="E538" s="465"/>
      <c r="F538" s="93"/>
      <c r="G538" s="76"/>
      <c r="H538" s="76"/>
      <c r="I538" s="76"/>
      <c r="J538" s="465"/>
      <c r="K538" s="465"/>
    </row>
    <row r="539" spans="3:11" ht="30.75" thickBot="1" x14ac:dyDescent="0.3">
      <c r="C539" s="129" t="s">
        <v>44</v>
      </c>
      <c r="D539" s="129" t="s">
        <v>55</v>
      </c>
      <c r="E539" s="136" t="s">
        <v>57</v>
      </c>
      <c r="F539" s="135" t="s">
        <v>27</v>
      </c>
      <c r="G539" s="133" t="s">
        <v>130</v>
      </c>
      <c r="H539" s="136" t="s">
        <v>46</v>
      </c>
      <c r="I539" s="133" t="s">
        <v>131</v>
      </c>
      <c r="J539" s="133" t="s">
        <v>409</v>
      </c>
      <c r="K539" s="133" t="s">
        <v>410</v>
      </c>
    </row>
    <row r="540" spans="3:11" ht="15.75" thickBot="1" x14ac:dyDescent="0.3">
      <c r="C540" s="220" t="s">
        <v>427</v>
      </c>
      <c r="D540" s="221">
        <f>1.75*2</f>
        <v>3.5</v>
      </c>
      <c r="E540" s="219">
        <f>HLOOKUP(C540,$AH$2:$BU$3,2,0)</f>
        <v>2000</v>
      </c>
      <c r="F540" s="97">
        <f t="shared" ref="F540:F543" si="46">D540*E540</f>
        <v>7000</v>
      </c>
      <c r="G540" s="161" t="s">
        <v>128</v>
      </c>
      <c r="H540" s="142" t="s">
        <v>760</v>
      </c>
      <c r="I540" s="130" t="str">
        <f>VLOOKUP(H540,Presupuesto!$B$11:$C$565,2,0)</f>
        <v>VIATICOS NACIONALES</v>
      </c>
      <c r="J540" s="218" t="s">
        <v>1366</v>
      </c>
      <c r="K540" s="98" t="s">
        <v>393</v>
      </c>
    </row>
    <row r="541" spans="3:11" x14ac:dyDescent="0.25">
      <c r="C541" s="220" t="s">
        <v>448</v>
      </c>
      <c r="D541" s="221">
        <v>5.5</v>
      </c>
      <c r="E541" s="219">
        <f>HLOOKUP(C541,$AH$2:$BU$3,2,0)</f>
        <v>4065.2820000000002</v>
      </c>
      <c r="F541" s="97">
        <f t="shared" si="46"/>
        <v>22359.050999999999</v>
      </c>
      <c r="G541" s="161" t="s">
        <v>2454</v>
      </c>
      <c r="H541" s="142" t="s">
        <v>307</v>
      </c>
      <c r="I541" s="130" t="str">
        <f>VLOOKUP(H541,Presupuesto!$B$11:$C$565,2,0)</f>
        <v>VIATICOS AL EXTERIOR</v>
      </c>
      <c r="J541" s="218" t="s">
        <v>1366</v>
      </c>
      <c r="K541" s="98" t="s">
        <v>411</v>
      </c>
    </row>
    <row r="542" spans="3:11" x14ac:dyDescent="0.25">
      <c r="C542" s="567" t="s">
        <v>2154</v>
      </c>
      <c r="D542" s="607">
        <v>1</v>
      </c>
      <c r="E542" s="608">
        <v>1500</v>
      </c>
      <c r="F542" s="97">
        <f t="shared" si="46"/>
        <v>1500</v>
      </c>
      <c r="G542" s="161" t="s">
        <v>128</v>
      </c>
      <c r="H542" s="142" t="s">
        <v>870</v>
      </c>
      <c r="I542" s="130" t="str">
        <f>VLOOKUP(H542,Presupuesto!$B$11:$C$565,2,0)</f>
        <v>GASOLINA</v>
      </c>
      <c r="J542" s="218" t="s">
        <v>1366</v>
      </c>
      <c r="K542" s="98" t="s">
        <v>411</v>
      </c>
    </row>
    <row r="543" spans="3:11" x14ac:dyDescent="0.25">
      <c r="C543" s="567" t="s">
        <v>2453</v>
      </c>
      <c r="D543" s="607">
        <v>1</v>
      </c>
      <c r="E543" s="608">
        <v>17600</v>
      </c>
      <c r="F543" s="97">
        <f t="shared" si="46"/>
        <v>17600</v>
      </c>
      <c r="G543" s="161" t="s">
        <v>2454</v>
      </c>
      <c r="H543" s="142" t="s">
        <v>754</v>
      </c>
      <c r="I543" s="130" t="str">
        <f>VLOOKUP(H543,Presupuesto!$B$11:$C$565,2,0)</f>
        <v>PASAJES AL EXTERIOR</v>
      </c>
      <c r="J543" s="218" t="s">
        <v>1366</v>
      </c>
      <c r="K543" s="98" t="s">
        <v>411</v>
      </c>
    </row>
    <row r="547" spans="3:11" ht="15.75" thickBot="1" x14ac:dyDescent="0.3"/>
    <row r="548" spans="3:11" ht="15.75" thickBot="1" x14ac:dyDescent="0.3">
      <c r="C548" s="157" t="s">
        <v>53</v>
      </c>
      <c r="D548" s="372">
        <f>SUM(F555:F556)</f>
        <v>1000</v>
      </c>
      <c r="E548" s="465"/>
      <c r="F548" s="70"/>
      <c r="G548" s="79"/>
      <c r="H548" s="70"/>
      <c r="I548" s="70"/>
      <c r="J548" s="465"/>
      <c r="K548" s="465"/>
    </row>
    <row r="549" spans="3:11" x14ac:dyDescent="0.25">
      <c r="C549" s="70"/>
      <c r="D549" s="31"/>
      <c r="E549" s="93"/>
      <c r="F549" s="93"/>
      <c r="G549" s="93"/>
      <c r="H549" s="76"/>
      <c r="I549" s="76"/>
      <c r="J549" s="76"/>
      <c r="K549" s="112"/>
    </row>
    <row r="550" spans="3:11" x14ac:dyDescent="0.25">
      <c r="C550" s="70"/>
      <c r="D550" s="31"/>
      <c r="E550" s="93"/>
      <c r="F550" s="93"/>
      <c r="G550" s="93"/>
      <c r="H550" s="76"/>
      <c r="I550" s="76"/>
      <c r="J550" s="76"/>
      <c r="K550" s="112"/>
    </row>
    <row r="551" spans="3:11" ht="15.75" x14ac:dyDescent="0.25">
      <c r="C551" s="202" t="s">
        <v>391</v>
      </c>
      <c r="D551" s="368" t="s">
        <v>2493</v>
      </c>
      <c r="E551" s="93"/>
      <c r="F551" s="93"/>
      <c r="G551" s="93"/>
      <c r="H551" s="76"/>
      <c r="I551" s="76"/>
      <c r="J551" s="76"/>
      <c r="K551" s="112"/>
    </row>
    <row r="552" spans="3:11" ht="18.75" x14ac:dyDescent="0.25">
      <c r="C552" s="210" t="str">
        <f>IFERROR(VLOOKUP(D551,'1. Desarrollo e Innov. Curricu.'!$F:$G,2,FALSE),IFERROR(VLOOKUP(D551,'2. Investigación Científica'!$F:$G,2,FALSE),IFERROR(VLOOKUP(D551,'3. Vinculación Univ. Sociedad'!$F:$G,2,FALSE),IFERROR(VLOOKUP(D551,'4. Docencia y Profesorado Univ.'!$F:$G,2,FALSE),IFERROR(VLOOKUP(D551,'5. Estudiantes y Graduados'!$F:$G,2,FALSE),IFERROR(VLOOKUP(D551,'11. Gestion Administrativa'!$F:$G,2,FALSE),IFERROR(VLOOKUP(D551,'13. Gestión Académica'!$F:$G,2,FALSE),IFERROR(VLOOKUP(D551,'9. Asegura. de la Calid. y M'!$F:$G,2,FALSE),IFERROR(VLOOKUP(D551,'6. Gestión del Conocimiento'!$F:$G,2,FALSE),IFERROR(VLOOKUP(D551,'15. Gobernabilidad y Proceso...'!$F:$G,2,FALSE),IFERROR(VLOOKUP(D551,'12. Gestión del Talento Humano'!$F:$G,2,FALSE),IFERROR(VLOOKUP(D551,'14. Internacional... de la E.S.'!$F:$G,2,FALSE),IFERROR(VLOOKUP(D551,'10. Posgrado'!$F:$G,2,FALSE),IFERROR(VLOOKUP(D551,'17. Gestión TIC'!$F:$G,2,FALSE),IFERROR(VLOOKUP(D551,'16. Desa. del Sistema Educ.Sup.'!$F:$G,2,FALSE),IFERROR(VLOOKUP(D551,'8. Cultura de Inno. Insti...'!$F:$G,2,FALSE),VLOOKUP(D551,'7. Lo Esencial de la Reforma U.'!$F:$G,2,0)))))))))))))))))</f>
        <v xml:space="preserve">Promover las visitas a un mayor numero de colegios de la región oriental ,promocionando el proceso de ingreso a la UNAH ,la oferta educativa y el programa de becas </v>
      </c>
      <c r="D552" s="31"/>
      <c r="E552" s="93"/>
      <c r="F552" s="93"/>
      <c r="G552" s="93"/>
      <c r="H552" s="76"/>
      <c r="I552" s="76"/>
      <c r="J552" s="76"/>
      <c r="K552" s="112"/>
    </row>
    <row r="553" spans="3:11" ht="15.75" thickBot="1" x14ac:dyDescent="0.3">
      <c r="C553" s="465"/>
      <c r="D553" s="465"/>
      <c r="E553" s="465"/>
      <c r="F553" s="93"/>
      <c r="G553" s="76"/>
      <c r="H553" s="76"/>
      <c r="I553" s="76"/>
      <c r="J553" s="465"/>
      <c r="K553" s="465"/>
    </row>
    <row r="554" spans="3:11" ht="30.75" thickBot="1" x14ac:dyDescent="0.3">
      <c r="C554" s="129" t="s">
        <v>44</v>
      </c>
      <c r="D554" s="129" t="s">
        <v>55</v>
      </c>
      <c r="E554" s="136" t="s">
        <v>57</v>
      </c>
      <c r="F554" s="135" t="s">
        <v>27</v>
      </c>
      <c r="G554" s="133" t="s">
        <v>130</v>
      </c>
      <c r="H554" s="136" t="s">
        <v>46</v>
      </c>
      <c r="I554" s="133" t="s">
        <v>131</v>
      </c>
      <c r="J554" s="133" t="s">
        <v>409</v>
      </c>
      <c r="K554" s="133" t="s">
        <v>410</v>
      </c>
    </row>
    <row r="555" spans="3:11" x14ac:dyDescent="0.25">
      <c r="C555" s="220" t="s">
        <v>438</v>
      </c>
      <c r="D555" s="221"/>
      <c r="E555" s="219">
        <f>HLOOKUP(C555,$AH$2:$BU$3,2,0)</f>
        <v>620</v>
      </c>
      <c r="F555" s="97">
        <f t="shared" ref="F555:F556" si="47">D555*E555</f>
        <v>0</v>
      </c>
      <c r="G555" s="161"/>
      <c r="H555" s="142"/>
      <c r="I555" s="130" t="e">
        <f>VLOOKUP(H555,Presupuesto!$B$11:$C$565,2,0)</f>
        <v>#N/A</v>
      </c>
      <c r="J555" s="218" t="s">
        <v>1359</v>
      </c>
      <c r="K555" s="98" t="s">
        <v>393</v>
      </c>
    </row>
    <row r="556" spans="3:11" x14ac:dyDescent="0.25">
      <c r="C556" s="141" t="s">
        <v>1712</v>
      </c>
      <c r="D556" s="158">
        <v>1</v>
      </c>
      <c r="E556" s="123">
        <v>1000</v>
      </c>
      <c r="F556" s="97">
        <f t="shared" si="47"/>
        <v>1000</v>
      </c>
      <c r="G556" s="161" t="s">
        <v>128</v>
      </c>
      <c r="H556" s="142" t="s">
        <v>870</v>
      </c>
      <c r="I556" s="130" t="str">
        <f>VLOOKUP(H556,Presupuesto!$B$11:$C$565,2,0)</f>
        <v>GASOLINA</v>
      </c>
      <c r="J556" s="98" t="s">
        <v>1359</v>
      </c>
      <c r="K556" s="98" t="s">
        <v>411</v>
      </c>
    </row>
    <row r="560" spans="3:11" ht="15.75" thickBot="1" x14ac:dyDescent="0.3"/>
    <row r="561" spans="3:11" ht="15.75" thickBot="1" x14ac:dyDescent="0.3">
      <c r="C561" s="157" t="s">
        <v>53</v>
      </c>
      <c r="D561" s="372">
        <f>SUM(F568:F569)</f>
        <v>4000</v>
      </c>
      <c r="E561" s="465"/>
      <c r="F561" s="70"/>
      <c r="G561" s="79"/>
      <c r="H561" s="70"/>
      <c r="I561" s="70"/>
      <c r="J561" s="465"/>
      <c r="K561" s="465"/>
    </row>
    <row r="562" spans="3:11" x14ac:dyDescent="0.25">
      <c r="C562" s="70"/>
      <c r="D562" s="31"/>
      <c r="E562" s="93"/>
      <c r="F562" s="93"/>
      <c r="G562" s="93"/>
      <c r="H562" s="76"/>
      <c r="I562" s="76"/>
      <c r="J562" s="76"/>
      <c r="K562" s="112"/>
    </row>
    <row r="563" spans="3:11" x14ac:dyDescent="0.25">
      <c r="C563" s="70"/>
      <c r="D563" s="31"/>
      <c r="E563" s="93"/>
      <c r="F563" s="93"/>
      <c r="G563" s="93"/>
      <c r="H563" s="76"/>
      <c r="I563" s="76"/>
      <c r="J563" s="76"/>
      <c r="K563" s="112"/>
    </row>
    <row r="564" spans="3:11" ht="15.75" x14ac:dyDescent="0.25">
      <c r="C564" s="202" t="s">
        <v>391</v>
      </c>
      <c r="D564" s="368" t="s">
        <v>2494</v>
      </c>
      <c r="E564" s="93"/>
      <c r="F564" s="93"/>
      <c r="G564" s="93"/>
      <c r="H564" s="76"/>
      <c r="I564" s="76"/>
      <c r="J564" s="76"/>
      <c r="K564" s="112"/>
    </row>
    <row r="565" spans="3:11" ht="18.75" x14ac:dyDescent="0.25">
      <c r="C565" s="210" t="e">
        <f>IFERROR(VLOOKUP(D564,'1. Desarrollo e Innov. Curricu.'!$F:$G,2,FALSE),IFERROR(VLOOKUP(D564,'2. Investigación Científica'!$F:$G,2,FALSE),IFERROR(VLOOKUP(D564,'3. Vinculación Univ. Sociedad'!$F:$G,2,FALSE),IFERROR(VLOOKUP(D564,'4. Docencia y Profesorado Univ.'!$F:$G,2,FALSE),IFERROR(VLOOKUP(D564,'5. Estudiantes y Graduados'!$F:$G,2,FALSE),IFERROR(VLOOKUP(D564,'11. Gestion Administrativa'!$F:$G,2,FALSE),IFERROR(VLOOKUP(D564,'13. Gestión Académica'!$F:$G,2,FALSE),IFERROR(VLOOKUP(D564,'9. Asegura. de la Calid. y M'!$F:$G,2,FALSE),IFERROR(VLOOKUP(D564,'6. Gestión del Conocimiento'!$F:$G,2,FALSE),IFERROR(VLOOKUP(D564,'15. Gobernabilidad y Proceso...'!$F:$G,2,FALSE),IFERROR(VLOOKUP(D564,'12. Gestión del Talento Humano'!$F:$G,2,FALSE),IFERROR(VLOOKUP(D564,'14. Internacional... de la E.S.'!$F:$G,2,FALSE),IFERROR(VLOOKUP(D564,'10. Posgrado'!$F:$G,2,FALSE),IFERROR(VLOOKUP(D564,'17. Gestión TIC'!$F:$G,2,FALSE),IFERROR(VLOOKUP(D564,'16. Desa. del Sistema Educ.Sup.'!$F:$G,2,FALSE),IFERROR(VLOOKUP(D564,'8. Cultura de Inno. Insti...'!$F:$G,2,FALSE),VLOOKUP(D564,'7. Lo Esencial de la Reforma U.'!$F:$G,2,0)))))))))))))))))</f>
        <v>#N/A</v>
      </c>
      <c r="D565" s="31"/>
      <c r="E565" s="93"/>
      <c r="F565" s="93"/>
      <c r="G565" s="93"/>
      <c r="H565" s="76"/>
      <c r="I565" s="76"/>
      <c r="J565" s="76"/>
      <c r="K565" s="112"/>
    </row>
    <row r="566" spans="3:11" ht="15.75" thickBot="1" x14ac:dyDescent="0.3">
      <c r="C566" s="465"/>
      <c r="D566" s="465"/>
      <c r="E566" s="465"/>
      <c r="F566" s="93"/>
      <c r="G566" s="76"/>
      <c r="H566" s="76"/>
      <c r="I566" s="76"/>
      <c r="J566" s="465"/>
      <c r="K566" s="465"/>
    </row>
    <row r="567" spans="3:11" ht="30.75" thickBot="1" x14ac:dyDescent="0.3">
      <c r="C567" s="129" t="s">
        <v>44</v>
      </c>
      <c r="D567" s="129" t="s">
        <v>55</v>
      </c>
      <c r="E567" s="136" t="s">
        <v>57</v>
      </c>
      <c r="F567" s="135" t="s">
        <v>27</v>
      </c>
      <c r="G567" s="133" t="s">
        <v>130</v>
      </c>
      <c r="H567" s="136" t="s">
        <v>46</v>
      </c>
      <c r="I567" s="133" t="s">
        <v>131</v>
      </c>
      <c r="J567" s="133" t="s">
        <v>409</v>
      </c>
      <c r="K567" s="133" t="s">
        <v>410</v>
      </c>
    </row>
    <row r="568" spans="3:11" x14ac:dyDescent="0.25">
      <c r="C568" s="220" t="s">
        <v>438</v>
      </c>
      <c r="D568" s="221"/>
      <c r="E568" s="219">
        <f>HLOOKUP(C568,$AH$2:$BU$3,2,0)</f>
        <v>620</v>
      </c>
      <c r="F568" s="97">
        <f t="shared" ref="F568:F569" si="48">D568*E568</f>
        <v>0</v>
      </c>
      <c r="G568" s="161"/>
      <c r="H568" s="142"/>
      <c r="I568" s="130" t="e">
        <f>VLOOKUP(H568,Presupuesto!$B$11:$C$565,2,0)</f>
        <v>#N/A</v>
      </c>
      <c r="J568" s="218" t="s">
        <v>1359</v>
      </c>
      <c r="K568" s="98" t="s">
        <v>393</v>
      </c>
    </row>
    <row r="569" spans="3:11" x14ac:dyDescent="0.25">
      <c r="C569" s="141" t="s">
        <v>1712</v>
      </c>
      <c r="D569" s="158">
        <v>4</v>
      </c>
      <c r="E569" s="123">
        <v>1000</v>
      </c>
      <c r="F569" s="97">
        <f t="shared" si="48"/>
        <v>4000</v>
      </c>
      <c r="G569" s="161" t="s">
        <v>128</v>
      </c>
      <c r="H569" s="142" t="s">
        <v>870</v>
      </c>
      <c r="I569" s="130" t="str">
        <f>VLOOKUP(H569,Presupuesto!$B$11:$C$565,2,0)</f>
        <v>GASOLINA</v>
      </c>
      <c r="J569" s="98" t="s">
        <v>1359</v>
      </c>
      <c r="K569" s="98" t="s">
        <v>411</v>
      </c>
    </row>
    <row r="572" spans="3:11" ht="15.75" thickBot="1" x14ac:dyDescent="0.3"/>
    <row r="573" spans="3:11" ht="15.75" thickBot="1" x14ac:dyDescent="0.3">
      <c r="C573" s="157" t="s">
        <v>53</v>
      </c>
      <c r="D573" s="372">
        <f>SUM(F580:F581)</f>
        <v>8000</v>
      </c>
      <c r="E573" s="465"/>
      <c r="F573" s="70"/>
      <c r="G573" s="79"/>
      <c r="H573" s="70"/>
      <c r="I573" s="70"/>
      <c r="J573" s="465"/>
      <c r="K573" s="465"/>
    </row>
    <row r="574" spans="3:11" x14ac:dyDescent="0.25">
      <c r="C574" s="70"/>
      <c r="D574" s="31"/>
      <c r="E574" s="93"/>
      <c r="F574" s="93"/>
      <c r="G574" s="93"/>
      <c r="H574" s="76"/>
      <c r="I574" s="76"/>
      <c r="J574" s="76"/>
      <c r="K574" s="112"/>
    </row>
    <row r="575" spans="3:11" x14ac:dyDescent="0.25">
      <c r="C575" s="70"/>
      <c r="D575" s="31"/>
      <c r="E575" s="93"/>
      <c r="F575" s="93"/>
      <c r="G575" s="93"/>
      <c r="H575" s="76"/>
      <c r="I575" s="76"/>
      <c r="J575" s="76"/>
      <c r="K575" s="112"/>
    </row>
    <row r="576" spans="3:11" ht="15.75" x14ac:dyDescent="0.25">
      <c r="C576" s="202" t="s">
        <v>391</v>
      </c>
      <c r="D576" s="368" t="s">
        <v>2499</v>
      </c>
      <c r="E576" s="93"/>
      <c r="F576" s="93"/>
      <c r="G576" s="93"/>
      <c r="H576" s="76"/>
      <c r="I576" s="76"/>
      <c r="J576" s="76"/>
      <c r="K576" s="112"/>
    </row>
    <row r="577" spans="3:11" ht="18.75" x14ac:dyDescent="0.25">
      <c r="C577" s="210" t="str">
        <f>IFERROR(VLOOKUP(D576,'1. Desarrollo e Innov. Curricu.'!$F:$G,2,FALSE),IFERROR(VLOOKUP(D576,'2. Investigación Científica'!$F:$G,2,FALSE),IFERROR(VLOOKUP(D576,'3. Vinculación Univ. Sociedad'!$F:$G,2,FALSE),IFERROR(VLOOKUP(D576,'4. Docencia y Profesorado Univ.'!$F:$G,2,FALSE),IFERROR(VLOOKUP(D576,'5. Estudiantes y Graduados'!$F:$G,2,FALSE),IFERROR(VLOOKUP(D576,'11. Gestion Administrativa'!$F:$G,2,FALSE),IFERROR(VLOOKUP(D576,'13. Gestión Académica'!$F:$G,2,FALSE),IFERROR(VLOOKUP(D576,'9. Asegura. de la Calid. y M'!$F:$G,2,FALSE),IFERROR(VLOOKUP(D576,'6. Gestión del Conocimiento'!$F:$G,2,FALSE),IFERROR(VLOOKUP(D576,'15. Gobernabilidad y Proceso...'!$F:$G,2,FALSE),IFERROR(VLOOKUP(D576,'12. Gestión del Talento Humano'!$F:$G,2,FALSE),IFERROR(VLOOKUP(D576,'14. Internacional... de la E.S.'!$F:$G,2,FALSE),IFERROR(VLOOKUP(D576,'10. Posgrado'!$F:$G,2,FALSE),IFERROR(VLOOKUP(D576,'17. Gestión TIC'!$F:$G,2,FALSE),IFERROR(VLOOKUP(D576,'16. Desa. del Sistema Educ.Sup.'!$F:$G,2,FALSE),IFERROR(VLOOKUP(D576,'8. Cultura de Inno. Insti...'!$F:$G,2,FALSE),VLOOKUP(D576,'7. Lo Esencial de la Reforma U.'!$F:$G,2,0)))))))))))))))))</f>
        <v xml:space="preserve">Desarrollo de concursos de dibujo,caricatura , fotografia y cuento. </v>
      </c>
      <c r="D577" s="31"/>
      <c r="E577" s="93"/>
      <c r="F577" s="93"/>
      <c r="G577" s="93"/>
      <c r="H577" s="76"/>
      <c r="I577" s="76"/>
      <c r="J577" s="76"/>
      <c r="K577" s="112"/>
    </row>
    <row r="578" spans="3:11" ht="15.75" thickBot="1" x14ac:dyDescent="0.3">
      <c r="C578" s="465"/>
      <c r="D578" s="465"/>
      <c r="E578" s="465"/>
      <c r="F578" s="93"/>
      <c r="G578" s="76"/>
      <c r="H578" s="76"/>
      <c r="I578" s="76"/>
      <c r="J578" s="465"/>
      <c r="K578" s="465"/>
    </row>
    <row r="579" spans="3:11" ht="30.75" thickBot="1" x14ac:dyDescent="0.3">
      <c r="C579" s="129" t="s">
        <v>44</v>
      </c>
      <c r="D579" s="129" t="s">
        <v>55</v>
      </c>
      <c r="E579" s="136" t="s">
        <v>57</v>
      </c>
      <c r="F579" s="135" t="s">
        <v>27</v>
      </c>
      <c r="G579" s="133" t="s">
        <v>130</v>
      </c>
      <c r="H579" s="136" t="s">
        <v>46</v>
      </c>
      <c r="I579" s="133" t="s">
        <v>131</v>
      </c>
      <c r="J579" s="133" t="s">
        <v>409</v>
      </c>
      <c r="K579" s="133" t="s">
        <v>410</v>
      </c>
    </row>
    <row r="580" spans="3:11" x14ac:dyDescent="0.25">
      <c r="C580" s="220" t="s">
        <v>438</v>
      </c>
      <c r="D580" s="221"/>
      <c r="E580" s="219">
        <f>HLOOKUP(C580,$AH$2:$BU$3,2,0)</f>
        <v>620</v>
      </c>
      <c r="F580" s="97">
        <f t="shared" ref="F580:F581" si="49">D580*E580</f>
        <v>0</v>
      </c>
      <c r="G580" s="161"/>
      <c r="H580" s="142"/>
      <c r="I580" s="130" t="e">
        <f>VLOOKUP(H580,Presupuesto!$B$11:$C$565,2,0)</f>
        <v>#N/A</v>
      </c>
      <c r="J580" s="218" t="s">
        <v>1471</v>
      </c>
      <c r="K580" s="98" t="s">
        <v>393</v>
      </c>
    </row>
    <row r="581" spans="3:11" x14ac:dyDescent="0.25">
      <c r="C581" s="141" t="s">
        <v>2516</v>
      </c>
      <c r="D581" s="158">
        <v>4</v>
      </c>
      <c r="E581" s="123">
        <v>2000</v>
      </c>
      <c r="F581" s="97">
        <f t="shared" si="49"/>
        <v>8000</v>
      </c>
      <c r="G581" s="161" t="s">
        <v>128</v>
      </c>
      <c r="H581" s="142" t="s">
        <v>943</v>
      </c>
      <c r="I581" s="130" t="str">
        <f>VLOOKUP(H581,Presupuesto!$B$11:$C$565,2,0)</f>
        <v>UTILES DE ESCRITORIO, OFICINA Y ENSE¥ANZA PROYECTO FORTALECIMIENTO ORG. ESTUDIAN</v>
      </c>
      <c r="J581" s="98" t="s">
        <v>1359</v>
      </c>
      <c r="K581" s="98" t="s">
        <v>411</v>
      </c>
    </row>
    <row r="584" spans="3:11" ht="15.75" thickBot="1" x14ac:dyDescent="0.3"/>
    <row r="585" spans="3:11" ht="15.75" thickBot="1" x14ac:dyDescent="0.3">
      <c r="C585" s="157" t="s">
        <v>53</v>
      </c>
      <c r="D585" s="372">
        <f>SUM(F592:F594)</f>
        <v>22000</v>
      </c>
      <c r="E585" s="465"/>
      <c r="F585" s="70"/>
      <c r="G585" s="79"/>
      <c r="H585" s="70"/>
      <c r="I585" s="70"/>
      <c r="J585" s="465"/>
      <c r="K585" s="465"/>
    </row>
    <row r="586" spans="3:11" x14ac:dyDescent="0.25">
      <c r="C586" s="70"/>
      <c r="D586" s="31"/>
      <c r="E586" s="93"/>
      <c r="F586" s="93"/>
      <c r="G586" s="93"/>
      <c r="H586" s="76"/>
      <c r="I586" s="76"/>
      <c r="J586" s="76"/>
      <c r="K586" s="112"/>
    </row>
    <row r="587" spans="3:11" x14ac:dyDescent="0.25">
      <c r="C587" s="70"/>
      <c r="D587" s="31"/>
      <c r="E587" s="93"/>
      <c r="F587" s="93"/>
      <c r="G587" s="93"/>
      <c r="H587" s="76"/>
      <c r="I587" s="76"/>
      <c r="J587" s="76"/>
      <c r="K587" s="112"/>
    </row>
    <row r="588" spans="3:11" ht="15.75" x14ac:dyDescent="0.25">
      <c r="C588" s="202" t="s">
        <v>391</v>
      </c>
      <c r="D588" s="368" t="s">
        <v>2515</v>
      </c>
      <c r="E588" s="93"/>
      <c r="F588" s="93"/>
      <c r="G588" s="93"/>
      <c r="H588" s="76"/>
      <c r="I588" s="76"/>
      <c r="J588" s="76"/>
      <c r="K588" s="112"/>
    </row>
    <row r="589" spans="3:11" ht="18.75" x14ac:dyDescent="0.25">
      <c r="C589" s="210" t="str">
        <f>IFERROR(VLOOKUP(D588,'1. Desarrollo e Innov. Curricu.'!$F:$G,2,FALSE),IFERROR(VLOOKUP(D588,'2. Investigación Científica'!$F:$G,2,FALSE),IFERROR(VLOOKUP(D588,'3. Vinculación Univ. Sociedad'!$F:$G,2,FALSE),IFERROR(VLOOKUP(D588,'4. Docencia y Profesorado Univ.'!$F:$G,2,FALSE),IFERROR(VLOOKUP(D588,'5. Estudiantes y Graduados'!$F:$G,2,FALSE),IFERROR(VLOOKUP(D588,'11. Gestion Administrativa'!$F:$G,2,FALSE),IFERROR(VLOOKUP(D588,'13. Gestión Académica'!$F:$G,2,FALSE),IFERROR(VLOOKUP(D588,'9. Asegura. de la Calid. y M'!$F:$G,2,FALSE),IFERROR(VLOOKUP(D588,'6. Gestión del Conocimiento'!$F:$G,2,FALSE),IFERROR(VLOOKUP(D588,'15. Gobernabilidad y Proceso...'!$F:$G,2,FALSE),IFERROR(VLOOKUP(D588,'12. Gestión del Talento Humano'!$F:$G,2,FALSE),IFERROR(VLOOKUP(D588,'14. Internacional... de la E.S.'!$F:$G,2,FALSE),IFERROR(VLOOKUP(D588,'10. Posgrado'!$F:$G,2,FALSE),IFERROR(VLOOKUP(D588,'17. Gestión TIC'!$F:$G,2,FALSE),IFERROR(VLOOKUP(D588,'16. Desa. del Sistema Educ.Sup.'!$F:$G,2,FALSE),IFERROR(VLOOKUP(D588,'8. Cultura de Inno. Insti...'!$F:$G,2,FALSE),VLOOKUP(D588,'7. Lo Esencial de la Reforma U.'!$F:$G,2,0)))))))))))))))))</f>
        <v xml:space="preserve">Premiacion de consurso En acto solemne entrega de premio al primero y segundo lugar a los ganadores </v>
      </c>
      <c r="D589" s="31"/>
      <c r="E589" s="93"/>
      <c r="F589" s="93"/>
      <c r="G589" s="93"/>
      <c r="H589" s="76"/>
      <c r="I589" s="76"/>
      <c r="J589" s="76"/>
      <c r="K589" s="112"/>
    </row>
    <row r="590" spans="3:11" ht="15.75" thickBot="1" x14ac:dyDescent="0.3">
      <c r="C590" s="465"/>
      <c r="D590" s="465"/>
      <c r="E590" s="465"/>
      <c r="F590" s="93"/>
      <c r="G590" s="76"/>
      <c r="H590" s="76"/>
      <c r="I590" s="76"/>
      <c r="J590" s="465"/>
      <c r="K590" s="465"/>
    </row>
    <row r="591" spans="3:11" ht="30.75" thickBot="1" x14ac:dyDescent="0.3">
      <c r="C591" s="129" t="s">
        <v>44</v>
      </c>
      <c r="D591" s="129" t="s">
        <v>55</v>
      </c>
      <c r="E591" s="136" t="s">
        <v>57</v>
      </c>
      <c r="F591" s="135" t="s">
        <v>27</v>
      </c>
      <c r="G591" s="133" t="s">
        <v>130</v>
      </c>
      <c r="H591" s="136" t="s">
        <v>46</v>
      </c>
      <c r="I591" s="133" t="s">
        <v>131</v>
      </c>
      <c r="J591" s="133" t="s">
        <v>409</v>
      </c>
      <c r="K591" s="133" t="s">
        <v>410</v>
      </c>
    </row>
    <row r="592" spans="3:11" x14ac:dyDescent="0.25">
      <c r="C592" s="220" t="s">
        <v>438</v>
      </c>
      <c r="D592" s="221"/>
      <c r="E592" s="219">
        <f>HLOOKUP(C592,$AH$2:$BU$3,2,0)</f>
        <v>620</v>
      </c>
      <c r="F592" s="97">
        <f t="shared" ref="F592:F594" si="50">D592*E592</f>
        <v>0</v>
      </c>
      <c r="G592" s="161"/>
      <c r="H592" s="142"/>
      <c r="I592" s="130" t="e">
        <f>VLOOKUP(H592,Presupuesto!$B$11:$C$565,2,0)</f>
        <v>#N/A</v>
      </c>
      <c r="J592" s="218" t="s">
        <v>1359</v>
      </c>
      <c r="K592" s="98" t="s">
        <v>393</v>
      </c>
    </row>
    <row r="593" spans="3:11" x14ac:dyDescent="0.25">
      <c r="C593" s="141" t="s">
        <v>2517</v>
      </c>
      <c r="D593" s="158">
        <v>4</v>
      </c>
      <c r="E593" s="123">
        <v>5000</v>
      </c>
      <c r="F593" s="97">
        <f t="shared" si="50"/>
        <v>20000</v>
      </c>
      <c r="G593" s="161" t="s">
        <v>128</v>
      </c>
      <c r="H593" s="142" t="s">
        <v>742</v>
      </c>
      <c r="I593" s="130" t="str">
        <f>VLOOKUP(H593,Presupuesto!$B$11:$C$565,2,0)</f>
        <v>OTROS SERVICIOS COMERCIALES Y FINANCIEROS</v>
      </c>
      <c r="J593" s="98" t="s">
        <v>1359</v>
      </c>
      <c r="K593" s="98" t="s">
        <v>411</v>
      </c>
    </row>
    <row r="594" spans="3:11" x14ac:dyDescent="0.25">
      <c r="C594" s="141" t="s">
        <v>2518</v>
      </c>
      <c r="D594" s="158">
        <v>100</v>
      </c>
      <c r="E594" s="123">
        <v>20</v>
      </c>
      <c r="F594" s="97">
        <f t="shared" si="50"/>
        <v>2000</v>
      </c>
      <c r="G594" s="161" t="s">
        <v>128</v>
      </c>
      <c r="H594" s="98" t="s">
        <v>791</v>
      </c>
      <c r="I594" s="130" t="str">
        <f>VLOOKUP(H594,Presupuesto!$B$11:$C$565,2,0)</f>
        <v>ALIMENTOS B EBIDAS PARA PERSONAS</v>
      </c>
      <c r="J594" s="98" t="s">
        <v>1359</v>
      </c>
      <c r="K594" s="98" t="s">
        <v>411</v>
      </c>
    </row>
    <row r="599" spans="3:11" ht="15.75" thickBot="1" x14ac:dyDescent="0.3"/>
    <row r="600" spans="3:11" ht="15.75" thickBot="1" x14ac:dyDescent="0.3">
      <c r="C600" s="157" t="s">
        <v>53</v>
      </c>
      <c r="D600" s="372">
        <f>SUM(F607:F608)</f>
        <v>3600</v>
      </c>
      <c r="E600" s="465"/>
      <c r="F600" s="70"/>
      <c r="G600" s="79"/>
      <c r="H600" s="70"/>
      <c r="I600" s="70"/>
      <c r="J600" s="465"/>
      <c r="K600" s="465"/>
    </row>
    <row r="601" spans="3:11" x14ac:dyDescent="0.25">
      <c r="C601" s="70"/>
      <c r="D601" s="31"/>
      <c r="E601" s="93"/>
      <c r="F601" s="93"/>
      <c r="G601" s="93"/>
      <c r="H601" s="76"/>
      <c r="I601" s="76"/>
      <c r="J601" s="76"/>
      <c r="K601" s="112"/>
    </row>
    <row r="602" spans="3:11" x14ac:dyDescent="0.25">
      <c r="C602" s="70"/>
      <c r="D602" s="31"/>
      <c r="E602" s="93"/>
      <c r="F602" s="93"/>
      <c r="G602" s="93"/>
      <c r="H602" s="76"/>
      <c r="I602" s="76"/>
      <c r="J602" s="76"/>
      <c r="K602" s="112"/>
    </row>
    <row r="603" spans="3:11" ht="15.75" x14ac:dyDescent="0.25">
      <c r="C603" s="202" t="s">
        <v>391</v>
      </c>
      <c r="D603" s="368" t="s">
        <v>2570</v>
      </c>
      <c r="E603" s="93"/>
      <c r="F603" s="93"/>
      <c r="G603" s="93"/>
      <c r="H603" s="76"/>
      <c r="I603" s="76"/>
      <c r="J603" s="76"/>
      <c r="K603" s="112"/>
    </row>
    <row r="604" spans="3:11" ht="18.75" x14ac:dyDescent="0.25">
      <c r="C604" s="210" t="str">
        <f>IFERROR(VLOOKUP(D603,'1. Desarrollo e Innov. Curricu.'!$F:$G,2,FALSE),IFERROR(VLOOKUP(D603,'2. Investigación Científica'!$F:$G,2,FALSE),IFERROR(VLOOKUP(D603,'3. Vinculación Univ. Sociedad'!$F:$G,2,FALSE),IFERROR(VLOOKUP(D603,'4. Docencia y Profesorado Univ.'!$F:$G,2,FALSE),IFERROR(VLOOKUP(D603,'5. Estudiantes y Graduados'!$F:$G,2,FALSE),IFERROR(VLOOKUP(D603,'11. Gestion Administrativa'!$F:$G,2,FALSE),IFERROR(VLOOKUP(D603,'13. Gestión Académica'!$F:$G,2,FALSE),IFERROR(VLOOKUP(D603,'9. Asegura. de la Calid. y M'!$F:$G,2,FALSE),IFERROR(VLOOKUP(D603,'6. Gestión del Conocimiento'!$F:$G,2,FALSE),IFERROR(VLOOKUP(D603,'15. Gobernabilidad y Proceso...'!$F:$G,2,FALSE),IFERROR(VLOOKUP(D603,'12. Gestión del Talento Humano'!$F:$G,2,FALSE),IFERROR(VLOOKUP(D603,'14. Internacional... de la E.S.'!$F:$G,2,FALSE),IFERROR(VLOOKUP(D603,'10. Posgrado'!$F:$G,2,FALSE),IFERROR(VLOOKUP(D603,'17. Gestión TIC'!$F:$G,2,FALSE),IFERROR(VLOOKUP(D603,'16. Desa. del Sistema Educ.Sup.'!$F:$G,2,FALSE),IFERROR(VLOOKUP(D603,'8. Cultura de Inno. Insti...'!$F:$G,2,FALSE),VLOOKUP(D603,'7. Lo Esencial de la Reforma U.'!$F:$G,2,0)))))))))))))))))</f>
        <v xml:space="preserve">Participación con ponencias en el Congreso de Investigación Cientifica </v>
      </c>
      <c r="D604" s="31"/>
      <c r="E604" s="93"/>
      <c r="F604" s="93"/>
      <c r="G604" s="93"/>
      <c r="H604" s="76"/>
      <c r="I604" s="76"/>
      <c r="J604" s="76"/>
      <c r="K604" s="112"/>
    </row>
    <row r="605" spans="3:11" ht="15.75" thickBot="1" x14ac:dyDescent="0.3">
      <c r="C605" s="465"/>
      <c r="D605" s="465"/>
      <c r="E605" s="465"/>
      <c r="F605" s="93"/>
      <c r="G605" s="76"/>
      <c r="H605" s="76"/>
      <c r="I605" s="76"/>
      <c r="J605" s="465"/>
      <c r="K605" s="465"/>
    </row>
    <row r="606" spans="3:11" ht="30.75" thickBot="1" x14ac:dyDescent="0.3">
      <c r="C606" s="129" t="s">
        <v>44</v>
      </c>
      <c r="D606" s="129" t="s">
        <v>55</v>
      </c>
      <c r="E606" s="136" t="s">
        <v>57</v>
      </c>
      <c r="F606" s="135" t="s">
        <v>27</v>
      </c>
      <c r="G606" s="133" t="s">
        <v>130</v>
      </c>
      <c r="H606" s="136" t="s">
        <v>46</v>
      </c>
      <c r="I606" s="133" t="s">
        <v>131</v>
      </c>
      <c r="J606" s="133" t="s">
        <v>409</v>
      </c>
      <c r="K606" s="133" t="s">
        <v>410</v>
      </c>
    </row>
    <row r="607" spans="3:11" x14ac:dyDescent="0.25">
      <c r="C607" s="220" t="s">
        <v>427</v>
      </c>
      <c r="D607" s="221">
        <f>0.5*3</f>
        <v>1.5</v>
      </c>
      <c r="E607" s="219">
        <f>HLOOKUP(C607,$AH$2:$BU$3,2,0)</f>
        <v>2000</v>
      </c>
      <c r="F607" s="97">
        <f t="shared" ref="F607:F608" si="51">D607*E607</f>
        <v>3000</v>
      </c>
      <c r="G607" s="161" t="s">
        <v>128</v>
      </c>
      <c r="H607" s="142" t="s">
        <v>760</v>
      </c>
      <c r="I607" s="130" t="str">
        <f>VLOOKUP(H607,Presupuesto!$B$11:$C$565,2,0)</f>
        <v>VIATICOS NACIONALES</v>
      </c>
      <c r="J607" s="218" t="s">
        <v>1358</v>
      </c>
      <c r="K607" s="98" t="s">
        <v>393</v>
      </c>
    </row>
    <row r="608" spans="3:11" x14ac:dyDescent="0.25">
      <c r="C608" s="141" t="s">
        <v>1712</v>
      </c>
      <c r="D608" s="158">
        <v>1</v>
      </c>
      <c r="E608" s="123">
        <v>600</v>
      </c>
      <c r="F608" s="97">
        <f t="shared" si="51"/>
        <v>600</v>
      </c>
      <c r="G608" s="161" t="s">
        <v>128</v>
      </c>
      <c r="H608" s="142" t="s">
        <v>870</v>
      </c>
      <c r="I608" s="130" t="str">
        <f>VLOOKUP(H608,Presupuesto!$B$11:$C$565,2,0)</f>
        <v>GASOLINA</v>
      </c>
      <c r="J608" s="98" t="s">
        <v>1358</v>
      </c>
      <c r="K608" s="98" t="s">
        <v>411</v>
      </c>
    </row>
    <row r="611" spans="3:11" ht="15.75" thickBot="1" x14ac:dyDescent="0.3"/>
    <row r="612" spans="3:11" ht="15.75" thickBot="1" x14ac:dyDescent="0.3">
      <c r="C612" s="157" t="s">
        <v>53</v>
      </c>
      <c r="D612" s="372">
        <f>SUM(F619:F620)</f>
        <v>104454.74925000001</v>
      </c>
      <c r="E612" s="465"/>
      <c r="F612" s="70"/>
      <c r="G612" s="79"/>
      <c r="H612" s="70"/>
      <c r="I612" s="70"/>
      <c r="J612" s="465"/>
      <c r="K612" s="465"/>
    </row>
    <row r="613" spans="3:11" x14ac:dyDescent="0.25">
      <c r="C613" s="70"/>
      <c r="D613" s="31"/>
      <c r="E613" s="93"/>
      <c r="F613" s="93"/>
      <c r="G613" s="93"/>
      <c r="H613" s="76"/>
      <c r="I613" s="76"/>
      <c r="J613" s="76"/>
      <c r="K613" s="112"/>
    </row>
    <row r="614" spans="3:11" x14ac:dyDescent="0.25">
      <c r="C614" s="70"/>
      <c r="D614" s="31"/>
      <c r="E614" s="93"/>
      <c r="F614" s="93"/>
      <c r="G614" s="93"/>
      <c r="H614" s="76"/>
      <c r="I614" s="76"/>
      <c r="J614" s="76"/>
      <c r="K614" s="112"/>
    </row>
    <row r="615" spans="3:11" ht="15.75" x14ac:dyDescent="0.25">
      <c r="C615" s="202" t="s">
        <v>391</v>
      </c>
      <c r="D615" s="368" t="s">
        <v>2267</v>
      </c>
      <c r="E615" s="93"/>
      <c r="F615" s="93"/>
      <c r="G615" s="93"/>
      <c r="H615" s="76"/>
      <c r="I615" s="76"/>
      <c r="J615" s="76"/>
      <c r="K615" s="112"/>
    </row>
    <row r="616" spans="3:11" ht="18.75" x14ac:dyDescent="0.25">
      <c r="C616" s="210" t="str">
        <f>IFERROR(VLOOKUP(D615,'1. Desarrollo e Innov. Curricu.'!$F:$G,2,FALSE),IFERROR(VLOOKUP(D615,'2. Investigación Científica'!$F:$G,2,FALSE),IFERROR(VLOOKUP(D615,'3. Vinculación Univ. Sociedad'!$F:$G,2,FALSE),IFERROR(VLOOKUP(D615,'4. Docencia y Profesorado Univ.'!$F:$G,2,FALSE),IFERROR(VLOOKUP(D615,'5. Estudiantes y Graduados'!$F:$G,2,FALSE),IFERROR(VLOOKUP(D615,'11. Gestion Administrativa'!$F:$G,2,FALSE),IFERROR(VLOOKUP(D615,'13. Gestión Académica'!$F:$G,2,FALSE),IFERROR(VLOOKUP(D615,'9. Asegura. de la Calid. y M'!$F:$G,2,FALSE),IFERROR(VLOOKUP(D615,'6. Gestión del Conocimiento'!$F:$G,2,FALSE),IFERROR(VLOOKUP(D615,'15. Gobernabilidad y Proceso...'!$F:$G,2,FALSE),IFERROR(VLOOKUP(D615,'12. Gestión del Talento Humano'!$F:$G,2,FALSE),IFERROR(VLOOKUP(D615,'14. Internacional... de la E.S.'!$F:$G,2,FALSE),IFERROR(VLOOKUP(D615,'10. Posgrado'!$F:$G,2,FALSE),IFERROR(VLOOKUP(D615,'17. Gestión TIC'!$F:$G,2,FALSE),IFERROR(VLOOKUP(D615,'16. Desa. del Sistema Educ.Sup.'!$F:$G,2,FALSE),IFERROR(VLOOKUP(D615,'8. Cultura de Inno. Insti...'!$F:$G,2,FALSE),VLOOKUP(D615,'7. Lo Esencial de la Reforma U.'!$F:$G,2,0)))))))))))))))))</f>
        <v>Promover la publicación y difusión de resultados de investigaciones en congresos, eventos y foros internacionales</v>
      </c>
      <c r="D616" s="31"/>
      <c r="E616" s="93"/>
      <c r="F616" s="93"/>
      <c r="G616" s="93"/>
      <c r="H616" s="76"/>
      <c r="I616" s="76"/>
      <c r="J616" s="76"/>
      <c r="K616" s="112"/>
    </row>
    <row r="617" spans="3:11" ht="15.75" thickBot="1" x14ac:dyDescent="0.3">
      <c r="C617" s="465"/>
      <c r="D617" s="465"/>
      <c r="E617" s="465"/>
      <c r="F617" s="93"/>
      <c r="G617" s="76"/>
      <c r="H617" s="76"/>
      <c r="I617" s="76"/>
      <c r="J617" s="465"/>
      <c r="K617" s="465"/>
    </row>
    <row r="618" spans="3:11" ht="30.75" thickBot="1" x14ac:dyDescent="0.3">
      <c r="C618" s="129" t="s">
        <v>44</v>
      </c>
      <c r="D618" s="129" t="s">
        <v>55</v>
      </c>
      <c r="E618" s="136" t="s">
        <v>57</v>
      </c>
      <c r="F618" s="135" t="s">
        <v>27</v>
      </c>
      <c r="G618" s="133" t="s">
        <v>130</v>
      </c>
      <c r="H618" s="136" t="s">
        <v>46</v>
      </c>
      <c r="I618" s="133" t="s">
        <v>131</v>
      </c>
      <c r="J618" s="133" t="s">
        <v>409</v>
      </c>
      <c r="K618" s="133" t="s">
        <v>410</v>
      </c>
    </row>
    <row r="619" spans="3:11" x14ac:dyDescent="0.25">
      <c r="C619" s="220" t="s">
        <v>447</v>
      </c>
      <c r="D619" s="221">
        <f>3*4.5</f>
        <v>13.5</v>
      </c>
      <c r="E619" s="219">
        <f>HLOOKUP(C619,$AH$2:$BU$3,2,0)</f>
        <v>4404.0555000000004</v>
      </c>
      <c r="F619" s="97">
        <f t="shared" ref="F619:F620" si="52">D619*E619</f>
        <v>59454.749250000008</v>
      </c>
      <c r="G619" s="161" t="s">
        <v>128</v>
      </c>
      <c r="H619" s="142" t="s">
        <v>307</v>
      </c>
      <c r="I619" s="130" t="str">
        <f>VLOOKUP(H619,Presupuesto!$B$11:$C$565,2,0)</f>
        <v>VIATICOS AL EXTERIOR</v>
      </c>
      <c r="J619" s="218" t="s">
        <v>1358</v>
      </c>
      <c r="K619" s="98" t="s">
        <v>393</v>
      </c>
    </row>
    <row r="620" spans="3:11" x14ac:dyDescent="0.25">
      <c r="C620" s="141" t="s">
        <v>2571</v>
      </c>
      <c r="D620" s="158">
        <v>3</v>
      </c>
      <c r="E620" s="123">
        <v>15000</v>
      </c>
      <c r="F620" s="97">
        <f t="shared" si="52"/>
        <v>45000</v>
      </c>
      <c r="G620" s="161" t="s">
        <v>128</v>
      </c>
      <c r="H620" s="142" t="s">
        <v>754</v>
      </c>
      <c r="I620" s="130" t="str">
        <f>VLOOKUP(H620,Presupuesto!$B$11:$C$565,2,0)</f>
        <v>PASAJES AL EXTERIOR</v>
      </c>
      <c r="J620" s="98" t="s">
        <v>1358</v>
      </c>
      <c r="K620" s="98" t="s">
        <v>411</v>
      </c>
    </row>
    <row r="622" spans="3:11" ht="15.75" thickBot="1" x14ac:dyDescent="0.3"/>
    <row r="623" spans="3:11" ht="15.75" thickBot="1" x14ac:dyDescent="0.3">
      <c r="C623" s="157" t="s">
        <v>53</v>
      </c>
      <c r="D623" s="372">
        <f>SUM(F630:F634)</f>
        <v>24300</v>
      </c>
      <c r="E623" s="465"/>
      <c r="F623" s="70"/>
      <c r="G623" s="79"/>
      <c r="H623" s="70"/>
      <c r="I623" s="70"/>
      <c r="J623" s="465"/>
      <c r="K623" s="465"/>
    </row>
    <row r="624" spans="3:11" x14ac:dyDescent="0.25">
      <c r="C624" s="70"/>
      <c r="D624" s="31"/>
      <c r="E624" s="93"/>
      <c r="F624" s="93"/>
      <c r="G624" s="93"/>
      <c r="H624" s="76"/>
      <c r="I624" s="76"/>
      <c r="J624" s="76"/>
      <c r="K624" s="112"/>
    </row>
    <row r="625" spans="3:11" x14ac:dyDescent="0.25">
      <c r="C625" s="70"/>
      <c r="D625" s="31"/>
      <c r="E625" s="93"/>
      <c r="F625" s="93"/>
      <c r="G625" s="93"/>
      <c r="H625" s="76"/>
      <c r="I625" s="76"/>
      <c r="J625" s="76"/>
      <c r="K625" s="112"/>
    </row>
    <row r="626" spans="3:11" ht="15.75" x14ac:dyDescent="0.25">
      <c r="C626" s="202" t="s">
        <v>391</v>
      </c>
      <c r="D626" s="368" t="s">
        <v>2271</v>
      </c>
      <c r="E626" s="93"/>
      <c r="F626" s="93"/>
      <c r="G626" s="93"/>
      <c r="H626" s="76"/>
      <c r="I626" s="76"/>
      <c r="J626" s="76"/>
      <c r="K626" s="112"/>
    </row>
    <row r="627" spans="3:11" ht="18.75" x14ac:dyDescent="0.25">
      <c r="C627" s="210" t="str">
        <f>IFERROR(VLOOKUP(D626,'1. Desarrollo e Innov. Curricu.'!$F:$G,2,FALSE),IFERROR(VLOOKUP(D626,'2. Investigación Científica'!$F:$G,2,FALSE),IFERROR(VLOOKUP(D626,'3. Vinculación Univ. Sociedad'!$F:$G,2,FALSE),IFERROR(VLOOKUP(D626,'4. Docencia y Profesorado Univ.'!$F:$G,2,FALSE),IFERROR(VLOOKUP(D626,'5. Estudiantes y Graduados'!$F:$G,2,FALSE),IFERROR(VLOOKUP(D626,'11. Gestion Administrativa'!$F:$G,2,FALSE),IFERROR(VLOOKUP(D626,'13. Gestión Académica'!$F:$G,2,FALSE),IFERROR(VLOOKUP(D626,'9. Asegura. de la Calid. y M'!$F:$G,2,FALSE),IFERROR(VLOOKUP(D626,'6. Gestión del Conocimiento'!$F:$G,2,FALSE),IFERROR(VLOOKUP(D626,'15. Gobernabilidad y Proceso...'!$F:$G,2,FALSE),IFERROR(VLOOKUP(D626,'12. Gestión del Talento Humano'!$F:$G,2,FALSE),IFERROR(VLOOKUP(D626,'14. Internacional... de la E.S.'!$F:$G,2,FALSE),IFERROR(VLOOKUP(D626,'10. Posgrado'!$F:$G,2,FALSE),IFERROR(VLOOKUP(D626,'17. Gestión TIC'!$F:$G,2,FALSE),IFERROR(VLOOKUP(D626,'16. Desa. del Sistema Educ.Sup.'!$F:$G,2,FALSE),IFERROR(VLOOKUP(D626,'8. Cultura de Inno. Insti...'!$F:$G,2,FALSE),VLOOKUP(D626,'7. Lo Esencial de la Reforma U.'!$F:$G,2,0)))))))))))))))))</f>
        <v>ENCUENTRO DE INVESTIGACION UNAH-TEC-DANLI</v>
      </c>
      <c r="D627" s="31"/>
      <c r="E627" s="93"/>
      <c r="F627" s="93"/>
      <c r="G627" s="93"/>
      <c r="H627" s="76"/>
      <c r="I627" s="76"/>
      <c r="J627" s="76"/>
      <c r="K627" s="112"/>
    </row>
    <row r="628" spans="3:11" ht="15.75" thickBot="1" x14ac:dyDescent="0.3">
      <c r="C628" s="465"/>
      <c r="D628" s="465"/>
      <c r="E628" s="465"/>
      <c r="F628" s="93"/>
      <c r="G628" s="76"/>
      <c r="H628" s="76"/>
      <c r="I628" s="76"/>
      <c r="J628" s="465"/>
      <c r="K628" s="465"/>
    </row>
    <row r="629" spans="3:11" ht="30.75" thickBot="1" x14ac:dyDescent="0.3">
      <c r="C629" s="129" t="s">
        <v>44</v>
      </c>
      <c r="D629" s="129" t="s">
        <v>55</v>
      </c>
      <c r="E629" s="136" t="s">
        <v>57</v>
      </c>
      <c r="F629" s="135" t="s">
        <v>27</v>
      </c>
      <c r="G629" s="133" t="s">
        <v>130</v>
      </c>
      <c r="H629" s="136" t="s">
        <v>46</v>
      </c>
      <c r="I629" s="133" t="s">
        <v>131</v>
      </c>
      <c r="J629" s="133" t="s">
        <v>409</v>
      </c>
      <c r="K629" s="133" t="s">
        <v>410</v>
      </c>
    </row>
    <row r="630" spans="3:11" x14ac:dyDescent="0.25">
      <c r="C630" s="220" t="s">
        <v>438</v>
      </c>
      <c r="D630" s="221"/>
      <c r="E630" s="219">
        <f>HLOOKUP(C630,$AH$2:$BU$3,2,0)</f>
        <v>620</v>
      </c>
      <c r="F630" s="97">
        <f t="shared" ref="F630:F634" si="53">D630*E630</f>
        <v>0</v>
      </c>
      <c r="G630" s="161"/>
      <c r="H630" s="142"/>
      <c r="I630" s="130" t="e">
        <f>VLOOKUP(H630,Presupuesto!$B$11:$C$565,2,0)</f>
        <v>#N/A</v>
      </c>
      <c r="J630" s="218" t="s">
        <v>1358</v>
      </c>
      <c r="K630" s="98" t="s">
        <v>393</v>
      </c>
    </row>
    <row r="631" spans="3:11" x14ac:dyDescent="0.25">
      <c r="C631" s="141" t="s">
        <v>2572</v>
      </c>
      <c r="D631" s="158">
        <v>150</v>
      </c>
      <c r="E631" s="123">
        <v>30</v>
      </c>
      <c r="F631" s="97">
        <f t="shared" si="53"/>
        <v>4500</v>
      </c>
      <c r="G631" s="161" t="s">
        <v>128</v>
      </c>
      <c r="H631" s="98" t="s">
        <v>716</v>
      </c>
      <c r="I631" s="130" t="str">
        <f>VLOOKUP(H631,Presupuesto!$B$11:$C$565,2,0)</f>
        <v>SERVICIOS DE IMPRENTA PUBLIC.Y REPRODUCCION</v>
      </c>
      <c r="J631" s="98" t="s">
        <v>1358</v>
      </c>
      <c r="K631" s="98" t="s">
        <v>411</v>
      </c>
    </row>
    <row r="632" spans="3:11" x14ac:dyDescent="0.25">
      <c r="C632" s="141" t="s">
        <v>1704</v>
      </c>
      <c r="D632" s="158">
        <v>8</v>
      </c>
      <c r="E632" s="123">
        <v>600</v>
      </c>
      <c r="F632" s="97">
        <f t="shared" si="53"/>
        <v>4800</v>
      </c>
      <c r="G632" s="161" t="s">
        <v>128</v>
      </c>
      <c r="H632" s="142" t="s">
        <v>660</v>
      </c>
      <c r="I632" s="130" t="str">
        <f>VLOOKUP(H632,Presupuesto!$B$11:$C$565,2,0)</f>
        <v>OTROS ALQUILERES</v>
      </c>
      <c r="J632" s="98" t="s">
        <v>1358</v>
      </c>
      <c r="K632" s="98" t="s">
        <v>411</v>
      </c>
    </row>
    <row r="633" spans="3:11" x14ac:dyDescent="0.25">
      <c r="C633" s="141" t="s">
        <v>2518</v>
      </c>
      <c r="D633" s="158">
        <v>200</v>
      </c>
      <c r="E633" s="123">
        <v>35</v>
      </c>
      <c r="F633" s="97">
        <f t="shared" si="53"/>
        <v>7000</v>
      </c>
      <c r="G633" s="161" t="s">
        <v>128</v>
      </c>
      <c r="H633" s="98" t="s">
        <v>791</v>
      </c>
      <c r="I633" s="130" t="str">
        <f>VLOOKUP(H633,Presupuesto!$B$11:$C$565,2,0)</f>
        <v>ALIMENTOS B EBIDAS PARA PERSONAS</v>
      </c>
      <c r="J633" s="98" t="s">
        <v>1358</v>
      </c>
      <c r="K633" s="98" t="s">
        <v>411</v>
      </c>
    </row>
    <row r="634" spans="3:11" x14ac:dyDescent="0.25">
      <c r="C634" s="141" t="s">
        <v>2573</v>
      </c>
      <c r="D634" s="158">
        <v>1</v>
      </c>
      <c r="E634" s="123">
        <v>8000</v>
      </c>
      <c r="F634" s="97">
        <f t="shared" si="53"/>
        <v>8000</v>
      </c>
      <c r="G634" s="161" t="s">
        <v>128</v>
      </c>
      <c r="H634" s="142" t="s">
        <v>660</v>
      </c>
      <c r="I634" s="130" t="str">
        <f>VLOOKUP(H634,Presupuesto!$B$11:$C$565,2,0)</f>
        <v>OTROS ALQUILERES</v>
      </c>
      <c r="J634" s="98" t="s">
        <v>1358</v>
      </c>
      <c r="K634" s="98" t="s">
        <v>411</v>
      </c>
    </row>
    <row r="637" spans="3:11" ht="15.75" thickBot="1" x14ac:dyDescent="0.3">
      <c r="H637" s="563"/>
    </row>
    <row r="638" spans="3:11" ht="15.75" thickBot="1" x14ac:dyDescent="0.3">
      <c r="C638" s="157" t="s">
        <v>53</v>
      </c>
      <c r="D638" s="372">
        <f>SUM(F645:F646)</f>
        <v>8000</v>
      </c>
      <c r="E638" s="465"/>
      <c r="F638" s="70"/>
      <c r="G638" s="79"/>
      <c r="H638" s="563"/>
      <c r="I638" s="70"/>
      <c r="J638" s="465"/>
      <c r="K638" s="465"/>
    </row>
    <row r="639" spans="3:11" x14ac:dyDescent="0.25">
      <c r="C639" s="70"/>
      <c r="D639" s="31"/>
      <c r="E639" s="93"/>
      <c r="F639" s="93"/>
      <c r="G639" s="93"/>
      <c r="H639" s="76"/>
      <c r="I639" s="76"/>
      <c r="J639" s="76"/>
      <c r="K639" s="112"/>
    </row>
    <row r="640" spans="3:11" x14ac:dyDescent="0.25">
      <c r="C640" s="70"/>
      <c r="D640" s="31"/>
      <c r="E640" s="93"/>
      <c r="F640" s="93"/>
      <c r="G640" s="93"/>
      <c r="H640" s="76"/>
      <c r="I640" s="76"/>
      <c r="J640" s="76"/>
      <c r="K640" s="112"/>
    </row>
    <row r="641" spans="3:11" ht="15.75" x14ac:dyDescent="0.25">
      <c r="C641" s="202" t="s">
        <v>391</v>
      </c>
      <c r="D641" s="368" t="s">
        <v>2574</v>
      </c>
      <c r="E641" s="93"/>
      <c r="F641" s="93"/>
      <c r="G641" s="93"/>
      <c r="H641" s="76"/>
      <c r="I641" s="76"/>
      <c r="J641" s="76"/>
      <c r="K641" s="112"/>
    </row>
    <row r="642" spans="3:11" ht="18.75" x14ac:dyDescent="0.25">
      <c r="C642" s="210" t="str">
        <f>IFERROR(VLOOKUP(D641,'1. Desarrollo e Innov. Curricu.'!$F:$G,2,FALSE),IFERROR(VLOOKUP(D641,'2. Investigación Científica'!$F:$G,2,FALSE),IFERROR(VLOOKUP(D641,'3. Vinculación Univ. Sociedad'!$F:$G,2,FALSE),IFERROR(VLOOKUP(D641,'4. Docencia y Profesorado Univ.'!$F:$G,2,FALSE),IFERROR(VLOOKUP(D641,'5. Estudiantes y Graduados'!$F:$G,2,FALSE),IFERROR(VLOOKUP(D641,'11. Gestion Administrativa'!$F:$G,2,FALSE),IFERROR(VLOOKUP(D641,'13. Gestión Académica'!$F:$G,2,FALSE),IFERROR(VLOOKUP(D641,'9. Asegura. de la Calid. y M'!$F:$G,2,FALSE),IFERROR(VLOOKUP(D641,'6. Gestión del Conocimiento'!$F:$G,2,FALSE),IFERROR(VLOOKUP(D641,'15. Gobernabilidad y Proceso...'!$F:$G,2,FALSE),IFERROR(VLOOKUP(D641,'12. Gestión del Talento Humano'!$F:$G,2,FALSE),IFERROR(VLOOKUP(D641,'14. Internacional... de la E.S.'!$F:$G,2,FALSE),IFERROR(VLOOKUP(D641,'10. Posgrado'!$F:$G,2,FALSE),IFERROR(VLOOKUP(D641,'17. Gestión TIC'!$F:$G,2,FALSE),IFERROR(VLOOKUP(D641,'16. Desa. del Sistema Educ.Sup.'!$F:$G,2,FALSE),IFERROR(VLOOKUP(D641,'8. Cultura de Inno. Insti...'!$F:$G,2,FALSE),VLOOKUP(D641,'7. Lo Esencial de la Reforma U.'!$F:$G,2,0)))))))))))))))))</f>
        <v>Motivar al personal docente en la participación del diplomado de investigación cientifica.</v>
      </c>
      <c r="D642" s="31"/>
      <c r="E642" s="93"/>
      <c r="F642" s="93"/>
      <c r="G642" s="93"/>
      <c r="H642" s="76"/>
      <c r="I642" s="76"/>
      <c r="J642" s="76"/>
      <c r="K642" s="112"/>
    </row>
    <row r="643" spans="3:11" ht="15.75" thickBot="1" x14ac:dyDescent="0.3">
      <c r="C643" s="465"/>
      <c r="D643" s="465"/>
      <c r="E643" s="465"/>
      <c r="F643" s="93"/>
      <c r="G643" s="76"/>
      <c r="H643" s="76"/>
      <c r="I643" s="76"/>
      <c r="J643" s="465"/>
      <c r="K643" s="465"/>
    </row>
    <row r="644" spans="3:11" ht="30.75" thickBot="1" x14ac:dyDescent="0.3">
      <c r="C644" s="129" t="s">
        <v>44</v>
      </c>
      <c r="D644" s="129" t="s">
        <v>55</v>
      </c>
      <c r="E644" s="136" t="s">
        <v>57</v>
      </c>
      <c r="F644" s="135" t="s">
        <v>27</v>
      </c>
      <c r="G644" s="133" t="s">
        <v>130</v>
      </c>
      <c r="H644" s="136" t="s">
        <v>46</v>
      </c>
      <c r="I644" s="133" t="s">
        <v>131</v>
      </c>
      <c r="J644" s="133" t="s">
        <v>409</v>
      </c>
      <c r="K644" s="133" t="s">
        <v>410</v>
      </c>
    </row>
    <row r="645" spans="3:11" x14ac:dyDescent="0.25">
      <c r="C645" s="220" t="s">
        <v>438</v>
      </c>
      <c r="D645" s="221"/>
      <c r="E645" s="219">
        <f>HLOOKUP(C645,$AH$2:$BU$3,2,0)</f>
        <v>620</v>
      </c>
      <c r="F645" s="97">
        <f t="shared" ref="F645:F646" si="54">D645*E645</f>
        <v>0</v>
      </c>
      <c r="G645" s="161"/>
      <c r="H645" s="142"/>
      <c r="I645" s="130" t="e">
        <f>VLOOKUP(H645,Presupuesto!$B$11:$C$565,2,0)</f>
        <v>#N/A</v>
      </c>
      <c r="J645" s="218" t="s">
        <v>1358</v>
      </c>
      <c r="K645" s="98" t="s">
        <v>393</v>
      </c>
    </row>
    <row r="646" spans="3:11" x14ac:dyDescent="0.25">
      <c r="C646" s="141" t="s">
        <v>2575</v>
      </c>
      <c r="D646" s="158">
        <v>4</v>
      </c>
      <c r="E646" s="123">
        <v>2000</v>
      </c>
      <c r="F646" s="97">
        <f t="shared" si="54"/>
        <v>8000</v>
      </c>
      <c r="G646" s="161" t="s">
        <v>128</v>
      </c>
      <c r="H646" s="142" t="s">
        <v>297</v>
      </c>
      <c r="I646" s="130" t="str">
        <f>VLOOKUP(H646,Presupuesto!$B$11:$C$565,2,0)</f>
        <v>OTROS SERVICIOS COMERCIALES Y FINANCIEROS N.C.</v>
      </c>
      <c r="J646" s="98" t="s">
        <v>1358</v>
      </c>
      <c r="K646" s="98" t="s">
        <v>411</v>
      </c>
    </row>
    <row r="649" spans="3:11" ht="15.75" thickBot="1" x14ac:dyDescent="0.3"/>
    <row r="650" spans="3:11" ht="15.75" thickBot="1" x14ac:dyDescent="0.3">
      <c r="C650" s="157" t="s">
        <v>53</v>
      </c>
      <c r="D650" s="372">
        <f>SUM(F657:F659)</f>
        <v>18000</v>
      </c>
      <c r="E650" s="465"/>
      <c r="F650" s="70"/>
      <c r="G650" s="79"/>
      <c r="H650" s="70"/>
      <c r="I650" s="70"/>
      <c r="J650" s="465"/>
      <c r="K650" s="465"/>
    </row>
    <row r="651" spans="3:11" x14ac:dyDescent="0.25">
      <c r="C651" s="70"/>
      <c r="D651" s="31"/>
      <c r="E651" s="93"/>
      <c r="F651" s="93"/>
      <c r="G651" s="93"/>
      <c r="H651" s="76"/>
      <c r="I651" s="76"/>
      <c r="J651" s="76"/>
      <c r="K651" s="112"/>
    </row>
    <row r="652" spans="3:11" x14ac:dyDescent="0.25">
      <c r="C652" s="70"/>
      <c r="D652" s="31"/>
      <c r="E652" s="93"/>
      <c r="F652" s="93"/>
      <c r="G652" s="93"/>
      <c r="H652" s="76"/>
      <c r="I652" s="76"/>
      <c r="J652" s="76"/>
      <c r="K652" s="112"/>
    </row>
    <row r="653" spans="3:11" ht="15.75" x14ac:dyDescent="0.25">
      <c r="C653" s="202" t="s">
        <v>391</v>
      </c>
      <c r="D653" s="368" t="s">
        <v>2550</v>
      </c>
      <c r="E653" s="93"/>
      <c r="F653" s="93"/>
      <c r="G653" s="93"/>
      <c r="H653" s="76"/>
      <c r="I653" s="76"/>
      <c r="J653" s="76"/>
      <c r="K653" s="112"/>
    </row>
    <row r="654" spans="3:11" ht="18.75" x14ac:dyDescent="0.25">
      <c r="C654" s="210" t="str">
        <f>IFERROR(VLOOKUP(D653,'1. Desarrollo e Innov. Curricu.'!$F:$G,2,FALSE),IFERROR(VLOOKUP(D653,'2. Investigación Científica'!$F:$G,2,FALSE),IFERROR(VLOOKUP(D653,'3. Vinculación Univ. Sociedad'!$F:$G,2,FALSE),IFERROR(VLOOKUP(D653,'4. Docencia y Profesorado Univ.'!$F:$G,2,FALSE),IFERROR(VLOOKUP(D653,'5. Estudiantes y Graduados'!$F:$G,2,FALSE),IFERROR(VLOOKUP(D653,'11. Gestion Administrativa'!$F:$G,2,FALSE),IFERROR(VLOOKUP(D653,'13. Gestión Académica'!$F:$G,2,FALSE),IFERROR(VLOOKUP(D653,'9. Asegura. de la Calid. y M'!$F:$G,2,FALSE),IFERROR(VLOOKUP(D653,'6. Gestión del Conocimiento'!$F:$G,2,FALSE),IFERROR(VLOOKUP(D653,'15. Gobernabilidad y Proceso...'!$F:$G,2,FALSE),IFERROR(VLOOKUP(D653,'12. Gestión del Talento Humano'!$F:$G,2,FALSE),IFERROR(VLOOKUP(D653,'14. Internacional... de la E.S.'!$F:$G,2,FALSE),IFERROR(VLOOKUP(D653,'10. Posgrado'!$F:$G,2,FALSE),IFERROR(VLOOKUP(D653,'17. Gestión TIC'!$F:$G,2,FALSE),IFERROR(VLOOKUP(D653,'16. Desa. del Sistema Educ.Sup.'!$F:$G,2,FALSE),IFERROR(VLOOKUP(D653,'8. Cultura de Inno. Insti...'!$F:$G,2,FALSE),VLOOKUP(D653,'7. Lo Esencial de la Reforma U.'!$F:$G,2,0)))))))))))))))))</f>
        <v xml:space="preserve">Desarrollo de torneo de ajedrez </v>
      </c>
      <c r="D654" s="31"/>
      <c r="E654" s="93"/>
      <c r="F654" s="93"/>
      <c r="G654" s="93"/>
      <c r="H654" s="76"/>
      <c r="I654" s="76"/>
      <c r="J654" s="76"/>
      <c r="K654" s="112"/>
    </row>
    <row r="655" spans="3:11" ht="15.75" thickBot="1" x14ac:dyDescent="0.3">
      <c r="C655" s="465"/>
      <c r="D655" s="465"/>
      <c r="E655" s="465"/>
      <c r="F655" s="93"/>
      <c r="G655" s="76"/>
      <c r="H655" s="76"/>
      <c r="I655" s="76"/>
      <c r="J655" s="465"/>
      <c r="K655" s="465"/>
    </row>
    <row r="656" spans="3:11" ht="30.75" thickBot="1" x14ac:dyDescent="0.3">
      <c r="C656" s="129" t="s">
        <v>44</v>
      </c>
      <c r="D656" s="129" t="s">
        <v>55</v>
      </c>
      <c r="E656" s="136" t="s">
        <v>57</v>
      </c>
      <c r="F656" s="135" t="s">
        <v>27</v>
      </c>
      <c r="G656" s="133" t="s">
        <v>130</v>
      </c>
      <c r="H656" s="136" t="s">
        <v>46</v>
      </c>
      <c r="I656" s="133" t="s">
        <v>131</v>
      </c>
      <c r="J656" s="133" t="s">
        <v>409</v>
      </c>
      <c r="K656" s="133" t="s">
        <v>410</v>
      </c>
    </row>
    <row r="657" spans="3:11" x14ac:dyDescent="0.25">
      <c r="C657" s="220" t="s">
        <v>438</v>
      </c>
      <c r="D657" s="221"/>
      <c r="E657" s="219">
        <f>HLOOKUP(C657,$AH$2:$BU$3,2,0)</f>
        <v>620</v>
      </c>
      <c r="F657" s="97">
        <f t="shared" ref="F657:F659" si="55">D657*E657</f>
        <v>0</v>
      </c>
      <c r="G657" s="161"/>
      <c r="H657" s="142"/>
      <c r="I657" s="130" t="e">
        <f>VLOOKUP(H657,Presupuesto!$B$11:$C$565,2,0)</f>
        <v>#N/A</v>
      </c>
      <c r="J657" s="218" t="s">
        <v>1359</v>
      </c>
      <c r="K657" s="98" t="s">
        <v>393</v>
      </c>
    </row>
    <row r="658" spans="3:11" x14ac:dyDescent="0.25">
      <c r="C658" s="141" t="s">
        <v>2518</v>
      </c>
      <c r="D658" s="158">
        <v>300</v>
      </c>
      <c r="E658" s="123">
        <v>40</v>
      </c>
      <c r="F658" s="97">
        <f t="shared" si="55"/>
        <v>12000</v>
      </c>
      <c r="G658" s="161" t="s">
        <v>128</v>
      </c>
      <c r="H658" s="98" t="s">
        <v>791</v>
      </c>
      <c r="I658" s="130" t="str">
        <f>VLOOKUP(H658,Presupuesto!$B$11:$C$565,2,0)</f>
        <v>ALIMENTOS B EBIDAS PARA PERSONAS</v>
      </c>
      <c r="J658" s="218" t="s">
        <v>1359</v>
      </c>
      <c r="K658" s="98" t="s">
        <v>411</v>
      </c>
    </row>
    <row r="659" spans="3:11" x14ac:dyDescent="0.25">
      <c r="C659" s="141" t="s">
        <v>2573</v>
      </c>
      <c r="D659" s="158">
        <v>3</v>
      </c>
      <c r="E659" s="123">
        <v>2000</v>
      </c>
      <c r="F659" s="97">
        <f t="shared" si="55"/>
        <v>6000</v>
      </c>
      <c r="G659" s="161" t="s">
        <v>128</v>
      </c>
      <c r="H659" s="142" t="s">
        <v>660</v>
      </c>
      <c r="I659" s="130" t="str">
        <f>VLOOKUP(H659,Presupuesto!$B$11:$C$565,2,0)</f>
        <v>OTROS ALQUILERES</v>
      </c>
      <c r="J659" s="218" t="s">
        <v>1359</v>
      </c>
      <c r="K659" s="98" t="s">
        <v>411</v>
      </c>
    </row>
    <row r="662" spans="3:11" ht="15.75" thickBot="1" x14ac:dyDescent="0.3"/>
    <row r="663" spans="3:11" ht="15.75" thickBot="1" x14ac:dyDescent="0.3">
      <c r="C663" s="157" t="s">
        <v>53</v>
      </c>
      <c r="D663" s="372">
        <f>SUM(F670:F671)</f>
        <v>9200</v>
      </c>
      <c r="E663" s="465"/>
      <c r="F663" s="70"/>
      <c r="G663" s="79"/>
      <c r="H663" s="70"/>
      <c r="I663" s="70"/>
      <c r="J663" s="465"/>
      <c r="K663" s="465"/>
    </row>
    <row r="664" spans="3:11" x14ac:dyDescent="0.25">
      <c r="C664" s="70"/>
      <c r="D664" s="31"/>
      <c r="E664" s="93"/>
      <c r="F664" s="93"/>
      <c r="G664" s="93"/>
      <c r="H664" s="76"/>
      <c r="I664" s="76"/>
      <c r="J664" s="76"/>
      <c r="K664" s="112"/>
    </row>
    <row r="665" spans="3:11" x14ac:dyDescent="0.25">
      <c r="C665" s="70"/>
      <c r="D665" s="31"/>
      <c r="E665" s="93"/>
      <c r="F665" s="93"/>
      <c r="G665" s="93"/>
      <c r="H665" s="76"/>
      <c r="I665" s="76"/>
      <c r="J665" s="76"/>
      <c r="K665" s="112"/>
    </row>
    <row r="666" spans="3:11" ht="15.75" x14ac:dyDescent="0.25">
      <c r="C666" s="202" t="s">
        <v>391</v>
      </c>
      <c r="D666" s="368" t="s">
        <v>2555</v>
      </c>
      <c r="E666" s="93"/>
      <c r="F666" s="93"/>
      <c r="G666" s="93"/>
      <c r="H666" s="76"/>
      <c r="I666" s="76"/>
      <c r="J666" s="76"/>
      <c r="K666" s="112"/>
    </row>
    <row r="667" spans="3:11" ht="18.75" x14ac:dyDescent="0.25">
      <c r="C667" s="210" t="str">
        <f>IFERROR(VLOOKUP(D666,'1. Desarrollo e Innov. Curricu.'!$F:$G,2,FALSE),IFERROR(VLOOKUP(D666,'2. Investigación Científica'!$F:$G,2,FALSE),IFERROR(VLOOKUP(D666,'3. Vinculación Univ. Sociedad'!$F:$G,2,FALSE),IFERROR(VLOOKUP(D666,'4. Docencia y Profesorado Univ.'!$F:$G,2,FALSE),IFERROR(VLOOKUP(D666,'5. Estudiantes y Graduados'!$F:$G,2,FALSE),IFERROR(VLOOKUP(D666,'11. Gestion Administrativa'!$F:$G,2,FALSE),IFERROR(VLOOKUP(D666,'13. Gestión Académica'!$F:$G,2,FALSE),IFERROR(VLOOKUP(D666,'9. Asegura. de la Calid. y M'!$F:$G,2,FALSE),IFERROR(VLOOKUP(D666,'6. Gestión del Conocimiento'!$F:$G,2,FALSE),IFERROR(VLOOKUP(D666,'15. Gobernabilidad y Proceso...'!$F:$G,2,FALSE),IFERROR(VLOOKUP(D666,'12. Gestión del Talento Humano'!$F:$G,2,FALSE),IFERROR(VLOOKUP(D666,'14. Internacional... de la E.S.'!$F:$G,2,FALSE),IFERROR(VLOOKUP(D666,'10. Posgrado'!$F:$G,2,FALSE),IFERROR(VLOOKUP(D666,'17. Gestión TIC'!$F:$G,2,FALSE),IFERROR(VLOOKUP(D666,'16. Desa. del Sistema Educ.Sup.'!$F:$G,2,FALSE),IFERROR(VLOOKUP(D666,'8. Cultura de Inno. Insti...'!$F:$G,2,FALSE),VLOOKUP(D666,'7. Lo Esencial de la Reforma U.'!$F:$G,2,0)))))))))))))))))</f>
        <v xml:space="preserve">Hacer la tramitación correspondiente para acreditar a los jóvenes atletas a la liga mayor </v>
      </c>
      <c r="D667" s="31"/>
      <c r="E667" s="93"/>
      <c r="F667" s="93"/>
      <c r="G667" s="93"/>
      <c r="H667" s="76"/>
      <c r="I667" s="76"/>
      <c r="J667" s="76"/>
      <c r="K667" s="112"/>
    </row>
    <row r="668" spans="3:11" ht="15.75" thickBot="1" x14ac:dyDescent="0.3">
      <c r="C668" s="465"/>
      <c r="D668" s="465"/>
      <c r="E668" s="465"/>
      <c r="F668" s="93"/>
      <c r="G668" s="76"/>
      <c r="H668" s="76"/>
      <c r="I668" s="76"/>
      <c r="J668" s="465"/>
      <c r="K668" s="465"/>
    </row>
    <row r="669" spans="3:11" ht="30.75" thickBot="1" x14ac:dyDescent="0.3">
      <c r="C669" s="129" t="s">
        <v>44</v>
      </c>
      <c r="D669" s="129" t="s">
        <v>55</v>
      </c>
      <c r="E669" s="136" t="s">
        <v>57</v>
      </c>
      <c r="F669" s="135" t="s">
        <v>27</v>
      </c>
      <c r="G669" s="133" t="s">
        <v>130</v>
      </c>
      <c r="H669" s="136" t="s">
        <v>46</v>
      </c>
      <c r="I669" s="133" t="s">
        <v>131</v>
      </c>
      <c r="J669" s="133" t="s">
        <v>409</v>
      </c>
      <c r="K669" s="133" t="s">
        <v>410</v>
      </c>
    </row>
    <row r="670" spans="3:11" x14ac:dyDescent="0.25">
      <c r="C670" s="220" t="s">
        <v>438</v>
      </c>
      <c r="D670" s="221"/>
      <c r="E670" s="219">
        <f>HLOOKUP(C670,$AH$2:$BU$3,2,0)</f>
        <v>620</v>
      </c>
      <c r="F670" s="97">
        <f t="shared" ref="F670:F671" si="56">D670*E670</f>
        <v>0</v>
      </c>
      <c r="G670" s="161"/>
      <c r="H670" s="142"/>
      <c r="I670" s="130" t="e">
        <f>VLOOKUP(H670,Presupuesto!$B$11:$C$565,2,0)</f>
        <v>#N/A</v>
      </c>
      <c r="J670" s="218" t="s">
        <v>1359</v>
      </c>
      <c r="K670" s="98" t="s">
        <v>393</v>
      </c>
    </row>
    <row r="671" spans="3:11" x14ac:dyDescent="0.25">
      <c r="C671" s="141" t="s">
        <v>2600</v>
      </c>
      <c r="D671" s="158">
        <v>1</v>
      </c>
      <c r="E671" s="123">
        <v>9200</v>
      </c>
      <c r="F671" s="97">
        <f t="shared" si="56"/>
        <v>9200</v>
      </c>
      <c r="G671" s="161" t="s">
        <v>128</v>
      </c>
      <c r="H671" s="142" t="s">
        <v>297</v>
      </c>
      <c r="I671" s="130" t="str">
        <f>VLOOKUP(H671,Presupuesto!$B$11:$C$565,2,0)</f>
        <v>OTROS SERVICIOS COMERCIALES Y FINANCIEROS N.C.</v>
      </c>
      <c r="J671" s="218" t="s">
        <v>1359</v>
      </c>
      <c r="K671" s="98" t="s">
        <v>411</v>
      </c>
    </row>
    <row r="673" spans="3:11" ht="15.75" thickBot="1" x14ac:dyDescent="0.3"/>
    <row r="674" spans="3:11" ht="15.75" thickBot="1" x14ac:dyDescent="0.3">
      <c r="C674" s="157" t="s">
        <v>53</v>
      </c>
      <c r="D674" s="372">
        <f>SUM(F681:F683)</f>
        <v>19000</v>
      </c>
      <c r="E674" s="465"/>
      <c r="F674" s="70"/>
      <c r="G674" s="79"/>
      <c r="H674" s="70"/>
      <c r="I674" s="70"/>
      <c r="J674" s="465"/>
      <c r="K674" s="465"/>
    </row>
    <row r="675" spans="3:11" x14ac:dyDescent="0.25">
      <c r="C675" s="70"/>
      <c r="D675" s="31"/>
      <c r="E675" s="93"/>
      <c r="F675" s="93"/>
      <c r="G675" s="93"/>
      <c r="H675" s="76"/>
      <c r="I675" s="76"/>
      <c r="J675" s="76"/>
      <c r="K675" s="112"/>
    </row>
    <row r="676" spans="3:11" x14ac:dyDescent="0.25">
      <c r="C676" s="70"/>
      <c r="D676" s="31"/>
      <c r="E676" s="93"/>
      <c r="F676" s="93"/>
      <c r="G676" s="93"/>
      <c r="H676" s="76"/>
      <c r="I676" s="76"/>
      <c r="J676" s="76"/>
      <c r="K676" s="112"/>
    </row>
    <row r="677" spans="3:11" ht="15.75" x14ac:dyDescent="0.25">
      <c r="C677" s="202" t="s">
        <v>391</v>
      </c>
      <c r="D677" s="368" t="s">
        <v>2607</v>
      </c>
      <c r="E677" s="93"/>
      <c r="F677" s="93"/>
      <c r="G677" s="93"/>
      <c r="H677" s="76"/>
      <c r="I677" s="76"/>
      <c r="J677" s="76"/>
      <c r="K677" s="112"/>
    </row>
    <row r="678" spans="3:11" ht="18.75" x14ac:dyDescent="0.25">
      <c r="C678" s="210" t="str">
        <f>IFERROR(VLOOKUP(D677,'1. Desarrollo e Innov. Curricu.'!$F:$G,2,FALSE),IFERROR(VLOOKUP(D677,'2. Investigación Científica'!$F:$G,2,FALSE),IFERROR(VLOOKUP(D677,'3. Vinculación Univ. Sociedad'!$F:$G,2,FALSE),IFERROR(VLOOKUP(D677,'4. Docencia y Profesorado Univ.'!$F:$G,2,FALSE),IFERROR(VLOOKUP(D677,'5. Estudiantes y Graduados'!$F:$G,2,FALSE),IFERROR(VLOOKUP(D677,'11. Gestion Administrativa'!$F:$G,2,FALSE),IFERROR(VLOOKUP(D677,'13. Gestión Académica'!$F:$G,2,FALSE),IFERROR(VLOOKUP(D677,'9. Asegura. de la Calid. y M'!$F:$G,2,FALSE),IFERROR(VLOOKUP(D677,'6. Gestión del Conocimiento'!$F:$G,2,FALSE),IFERROR(VLOOKUP(D677,'15. Gobernabilidad y Proceso...'!$F:$G,2,FALSE),IFERROR(VLOOKUP(D677,'12. Gestión del Talento Humano'!$F:$G,2,FALSE),IFERROR(VLOOKUP(D677,'14. Internacional... de la E.S.'!$F:$G,2,FALSE),IFERROR(VLOOKUP(D677,'10. Posgrado'!$F:$G,2,FALSE),IFERROR(VLOOKUP(D677,'17. Gestión TIC'!$F:$G,2,FALSE),IFERROR(VLOOKUP(D677,'16. Desa. del Sistema Educ.Sup.'!$F:$G,2,FALSE),IFERROR(VLOOKUP(D677,'8. Cultura de Inno. Insti...'!$F:$G,2,FALSE),VLOOKUP(D677,'7. Lo Esencial de la Reforma U.'!$F:$G,2,0)))))))))))))))))</f>
        <v>Producción de medicamentos naturales tales como jarabes, jabones, tinturas , unguentos con los alumnos de las Carreras de Enfermeria e Ingenieria Agroindustrial , beneficiandoasi a  diversas familias de escasos recursos  ubicados en distintas comunidades del municipio de Danli</v>
      </c>
      <c r="D678" s="31"/>
      <c r="E678" s="93"/>
      <c r="F678" s="93"/>
      <c r="G678" s="93"/>
      <c r="H678" s="76"/>
      <c r="I678" s="76"/>
      <c r="J678" s="76"/>
      <c r="K678" s="112"/>
    </row>
    <row r="679" spans="3:11" ht="15.75" thickBot="1" x14ac:dyDescent="0.3">
      <c r="C679" s="465"/>
      <c r="D679" s="465"/>
      <c r="E679" s="465"/>
      <c r="F679" s="93"/>
      <c r="G679" s="76"/>
      <c r="H679" s="76"/>
      <c r="I679" s="76"/>
      <c r="J679" s="465"/>
      <c r="K679" s="465"/>
    </row>
    <row r="680" spans="3:11" ht="30.75" thickBot="1" x14ac:dyDescent="0.3">
      <c r="C680" s="129" t="s">
        <v>44</v>
      </c>
      <c r="D680" s="129" t="s">
        <v>55</v>
      </c>
      <c r="E680" s="136" t="s">
        <v>57</v>
      </c>
      <c r="F680" s="135" t="s">
        <v>27</v>
      </c>
      <c r="G680" s="133" t="s">
        <v>130</v>
      </c>
      <c r="H680" s="136" t="s">
        <v>46</v>
      </c>
      <c r="I680" s="133" t="s">
        <v>131</v>
      </c>
      <c r="J680" s="133" t="s">
        <v>409</v>
      </c>
      <c r="K680" s="133" t="s">
        <v>410</v>
      </c>
    </row>
    <row r="681" spans="3:11" x14ac:dyDescent="0.25">
      <c r="C681" s="220" t="s">
        <v>438</v>
      </c>
      <c r="D681" s="221"/>
      <c r="E681" s="219">
        <f>HLOOKUP(C681,$AH$2:$BU$3,2,0)</f>
        <v>620</v>
      </c>
      <c r="F681" s="97">
        <f t="shared" ref="F681:F683" si="57">D681*E681</f>
        <v>0</v>
      </c>
      <c r="G681" s="161"/>
      <c r="H681" s="142"/>
      <c r="I681" s="130" t="e">
        <f>VLOOKUP(H681,Presupuesto!$B$11:$C$565,2,0)</f>
        <v>#N/A</v>
      </c>
      <c r="J681" s="218" t="s">
        <v>1471</v>
      </c>
      <c r="K681" s="98" t="s">
        <v>393</v>
      </c>
    </row>
    <row r="682" spans="3:11" x14ac:dyDescent="0.25">
      <c r="C682" s="141" t="s">
        <v>2624</v>
      </c>
      <c r="D682" s="158">
        <v>200</v>
      </c>
      <c r="E682" s="123">
        <v>20</v>
      </c>
      <c r="F682" s="97">
        <f t="shared" si="57"/>
        <v>4000</v>
      </c>
      <c r="G682" s="161" t="s">
        <v>128</v>
      </c>
      <c r="H682" s="142" t="s">
        <v>884</v>
      </c>
      <c r="I682" s="130" t="str">
        <f>VLOOKUP(H682,Presupuesto!$B$11:$C$565,2,0)</f>
        <v>PRODUCTOS DE MATERIAL PLASTICO.</v>
      </c>
      <c r="J682" s="98" t="s">
        <v>470</v>
      </c>
      <c r="K682" s="98" t="s">
        <v>411</v>
      </c>
    </row>
    <row r="683" spans="3:11" x14ac:dyDescent="0.25">
      <c r="C683" s="141" t="s">
        <v>2625</v>
      </c>
      <c r="D683" s="158">
        <v>1</v>
      </c>
      <c r="E683" s="123">
        <v>15000</v>
      </c>
      <c r="F683" s="97">
        <f t="shared" si="57"/>
        <v>15000</v>
      </c>
      <c r="G683" s="161" t="s">
        <v>128</v>
      </c>
      <c r="H683" s="142" t="s">
        <v>857</v>
      </c>
      <c r="I683" s="130" t="str">
        <f>VLOOKUP(H683,Presupuesto!$B$11:$C$565,2,0)</f>
        <v>PRODUCTOS FARMACEUTICO Y MEDICINALES</v>
      </c>
      <c r="J683" s="98" t="s">
        <v>470</v>
      </c>
      <c r="K683" s="98" t="s">
        <v>411</v>
      </c>
    </row>
    <row r="686" spans="3:11" ht="15.75" thickBot="1" x14ac:dyDescent="0.3"/>
    <row r="687" spans="3:11" ht="15.75" thickBot="1" x14ac:dyDescent="0.3">
      <c r="C687" s="157" t="s">
        <v>53</v>
      </c>
      <c r="D687" s="372">
        <f>SUM(F694:F702)</f>
        <v>0</v>
      </c>
      <c r="E687" s="465"/>
      <c r="F687" s="70"/>
      <c r="G687" s="79"/>
      <c r="H687" s="70"/>
      <c r="I687" s="70"/>
      <c r="J687" s="465"/>
      <c r="K687" s="465"/>
    </row>
    <row r="688" spans="3:11" x14ac:dyDescent="0.25">
      <c r="C688" s="70"/>
      <c r="D688" s="31"/>
      <c r="E688" s="93"/>
      <c r="F688" s="93"/>
      <c r="G688" s="93"/>
      <c r="H688" s="76"/>
      <c r="I688" s="76"/>
      <c r="J688" s="76"/>
      <c r="K688" s="112"/>
    </row>
    <row r="689" spans="3:11" x14ac:dyDescent="0.25">
      <c r="C689" s="70"/>
      <c r="D689" s="31"/>
      <c r="E689" s="93"/>
      <c r="F689" s="93"/>
      <c r="G689" s="93"/>
      <c r="H689" s="76"/>
      <c r="I689" s="76"/>
      <c r="J689" s="76"/>
      <c r="K689" s="112"/>
    </row>
    <row r="690" spans="3:11" ht="15.75" x14ac:dyDescent="0.25">
      <c r="C690" s="202" t="s">
        <v>391</v>
      </c>
      <c r="D690" s="368"/>
      <c r="E690" s="93"/>
      <c r="F690" s="93"/>
      <c r="G690" s="93"/>
      <c r="H690" s="76"/>
      <c r="I690" s="76"/>
      <c r="J690" s="76"/>
      <c r="K690" s="112"/>
    </row>
    <row r="691" spans="3:11" ht="18.75" x14ac:dyDescent="0.25">
      <c r="C691" s="210" t="e">
        <f>IFERROR(VLOOKUP(D690,'1. Desarrollo e Innov. Curricu.'!$F:$G,2,FALSE),IFERROR(VLOOKUP(D690,'2. Investigación Científica'!$F:$G,2,FALSE),IFERROR(VLOOKUP(D690,'3. Vinculación Univ. Sociedad'!$F:$G,2,FALSE),IFERROR(VLOOKUP(D690,'4. Docencia y Profesorado Univ.'!$F:$G,2,FALSE),IFERROR(VLOOKUP(D690,'5. Estudiantes y Graduados'!$F:$G,2,FALSE),IFERROR(VLOOKUP(D690,'11. Gestion Administrativa'!$F:$G,2,FALSE),IFERROR(VLOOKUP(D690,'13. Gestión Académica'!$F:$G,2,FALSE),IFERROR(VLOOKUP(D690,'9. Asegura. de la Calid. y M'!$F:$G,2,FALSE),IFERROR(VLOOKUP(D690,'6. Gestión del Conocimiento'!$F:$G,2,FALSE),IFERROR(VLOOKUP(D690,'15. Gobernabilidad y Proceso...'!$F:$G,2,FALSE),IFERROR(VLOOKUP(D690,'12. Gestión del Talento Humano'!$F:$G,2,FALSE),IFERROR(VLOOKUP(D690,'14. Internacional... de la E.S.'!$F:$G,2,FALSE),IFERROR(VLOOKUP(D690,'10. Posgrado'!$F:$G,2,FALSE),IFERROR(VLOOKUP(D690,'17. Gestión TIC'!$F:$G,2,FALSE),IFERROR(VLOOKUP(D690,'16. Desa. del Sistema Educ.Sup.'!$F:$G,2,FALSE),IFERROR(VLOOKUP(D690,'8. Cultura de Inno. Insti...'!$F:$G,2,FALSE),VLOOKUP(D690,'7. Lo Esencial de la Reforma U.'!$F:$G,2,0)))))))))))))))))</f>
        <v>#N/A</v>
      </c>
      <c r="D691" s="31"/>
      <c r="E691" s="93"/>
      <c r="F691" s="93"/>
      <c r="G691" s="93"/>
      <c r="H691" s="76"/>
      <c r="I691" s="76"/>
      <c r="J691" s="76"/>
      <c r="K691" s="112"/>
    </row>
    <row r="692" spans="3:11" ht="15.75" thickBot="1" x14ac:dyDescent="0.3">
      <c r="C692" s="465"/>
      <c r="D692" s="465"/>
      <c r="E692" s="465"/>
      <c r="F692" s="93"/>
      <c r="G692" s="76"/>
      <c r="H692" s="76"/>
      <c r="I692" s="76"/>
      <c r="J692" s="465"/>
      <c r="K692" s="465"/>
    </row>
    <row r="693" spans="3:11" ht="30.75" thickBot="1" x14ac:dyDescent="0.3">
      <c r="C693" s="129" t="s">
        <v>44</v>
      </c>
      <c r="D693" s="129" t="s">
        <v>55</v>
      </c>
      <c r="E693" s="136" t="s">
        <v>57</v>
      </c>
      <c r="F693" s="135" t="s">
        <v>27</v>
      </c>
      <c r="G693" s="133" t="s">
        <v>130</v>
      </c>
      <c r="H693" s="136" t="s">
        <v>46</v>
      </c>
      <c r="I693" s="133" t="s">
        <v>131</v>
      </c>
      <c r="J693" s="133" t="s">
        <v>409</v>
      </c>
      <c r="K693" s="133" t="s">
        <v>410</v>
      </c>
    </row>
    <row r="694" spans="3:11" x14ac:dyDescent="0.25">
      <c r="C694" s="220" t="s">
        <v>438</v>
      </c>
      <c r="D694" s="221"/>
      <c r="E694" s="219">
        <f>HLOOKUP(C694,$AH$2:$BU$3,2,0)</f>
        <v>620</v>
      </c>
      <c r="F694" s="97">
        <f t="shared" ref="F694:F702" si="58">D694*E694</f>
        <v>0</v>
      </c>
      <c r="G694" s="161"/>
      <c r="H694" s="142"/>
      <c r="I694" s="130" t="e">
        <f>VLOOKUP(H694,Presupuesto!$B$11:$C$565,2,0)</f>
        <v>#N/A</v>
      </c>
      <c r="J694" s="218" t="s">
        <v>1471</v>
      </c>
      <c r="K694" s="98" t="s">
        <v>393</v>
      </c>
    </row>
    <row r="695" spans="3:11" x14ac:dyDescent="0.25">
      <c r="C695" s="141"/>
      <c r="D695" s="158"/>
      <c r="E695" s="123"/>
      <c r="F695" s="97">
        <f t="shared" si="58"/>
        <v>0</v>
      </c>
      <c r="G695" s="161"/>
      <c r="H695" s="142"/>
      <c r="I695" s="130" t="e">
        <f>VLOOKUP(H695,Presupuesto!$B$11:$C$565,2,0)</f>
        <v>#N/A</v>
      </c>
      <c r="J695" s="98" t="str">
        <f>$J$430</f>
        <v>Gestión Administrativa y  financiera en apoyo al Desarrollo Académico</v>
      </c>
      <c r="K695" s="98" t="s">
        <v>411</v>
      </c>
    </row>
    <row r="696" spans="3:11" x14ac:dyDescent="0.25">
      <c r="C696" s="141"/>
      <c r="D696" s="158"/>
      <c r="E696" s="123"/>
      <c r="F696" s="97">
        <f t="shared" si="58"/>
        <v>0</v>
      </c>
      <c r="G696" s="161"/>
      <c r="H696" s="142"/>
      <c r="I696" s="130" t="e">
        <f>VLOOKUP(H696,Presupuesto!$B$11:$C$565,2,0)</f>
        <v>#N/A</v>
      </c>
      <c r="J696" s="98" t="str">
        <f t="shared" ref="J696:J702" si="59">$J$430</f>
        <v>Gestión Administrativa y  financiera en apoyo al Desarrollo Académico</v>
      </c>
      <c r="K696" s="98" t="s">
        <v>411</v>
      </c>
    </row>
    <row r="697" spans="3:11" x14ac:dyDescent="0.25">
      <c r="C697" s="141"/>
      <c r="D697" s="158"/>
      <c r="E697" s="123"/>
      <c r="F697" s="97">
        <f t="shared" si="58"/>
        <v>0</v>
      </c>
      <c r="G697" s="161"/>
      <c r="H697" s="142"/>
      <c r="I697" s="130" t="e">
        <f>VLOOKUP(H697,Presupuesto!$B$11:$C$565,2,0)</f>
        <v>#N/A</v>
      </c>
      <c r="J697" s="98" t="str">
        <f t="shared" si="59"/>
        <v>Gestión Administrativa y  financiera en apoyo al Desarrollo Académico</v>
      </c>
      <c r="K697" s="98" t="s">
        <v>411</v>
      </c>
    </row>
    <row r="698" spans="3:11" x14ac:dyDescent="0.25">
      <c r="C698" s="141"/>
      <c r="D698" s="158"/>
      <c r="E698" s="123"/>
      <c r="F698" s="97">
        <f t="shared" si="58"/>
        <v>0</v>
      </c>
      <c r="G698" s="161"/>
      <c r="H698" s="142"/>
      <c r="I698" s="130" t="e">
        <f>VLOOKUP(H698,Presupuesto!$B$11:$C$565,2,0)</f>
        <v>#N/A</v>
      </c>
      <c r="J698" s="98" t="str">
        <f t="shared" si="59"/>
        <v>Gestión Administrativa y  financiera en apoyo al Desarrollo Académico</v>
      </c>
      <c r="K698" s="98" t="s">
        <v>411</v>
      </c>
    </row>
    <row r="699" spans="3:11" x14ac:dyDescent="0.25">
      <c r="C699" s="141"/>
      <c r="D699" s="158"/>
      <c r="E699" s="123"/>
      <c r="F699" s="97">
        <f t="shared" si="58"/>
        <v>0</v>
      </c>
      <c r="G699" s="161"/>
      <c r="H699" s="142"/>
      <c r="I699" s="130" t="e">
        <f>VLOOKUP(H699,Presupuesto!$B$11:$C$565,2,0)</f>
        <v>#N/A</v>
      </c>
      <c r="J699" s="98" t="str">
        <f t="shared" si="59"/>
        <v>Gestión Administrativa y  financiera en apoyo al Desarrollo Académico</v>
      </c>
      <c r="K699" s="98" t="s">
        <v>400</v>
      </c>
    </row>
    <row r="700" spans="3:11" x14ac:dyDescent="0.25">
      <c r="C700" s="141"/>
      <c r="D700" s="158"/>
      <c r="E700" s="123"/>
      <c r="F700" s="97">
        <f t="shared" si="58"/>
        <v>0</v>
      </c>
      <c r="G700" s="161"/>
      <c r="H700" s="142"/>
      <c r="I700" s="130" t="e">
        <f>VLOOKUP(H700,Presupuesto!$B$11:$C$565,2,0)</f>
        <v>#N/A</v>
      </c>
      <c r="J700" s="98" t="str">
        <f t="shared" si="59"/>
        <v>Gestión Administrativa y  financiera en apoyo al Desarrollo Académico</v>
      </c>
      <c r="K700" s="98" t="s">
        <v>411</v>
      </c>
    </row>
    <row r="701" spans="3:11" x14ac:dyDescent="0.25">
      <c r="C701" s="141"/>
      <c r="D701" s="158"/>
      <c r="E701" s="123"/>
      <c r="F701" s="97">
        <f t="shared" si="58"/>
        <v>0</v>
      </c>
      <c r="G701" s="161"/>
      <c r="H701" s="142"/>
      <c r="I701" s="130" t="e">
        <f>VLOOKUP(H701,Presupuesto!$B$11:$C$565,2,0)</f>
        <v>#N/A</v>
      </c>
      <c r="J701" s="98" t="str">
        <f t="shared" si="59"/>
        <v>Gestión Administrativa y  financiera en apoyo al Desarrollo Académico</v>
      </c>
      <c r="K701" s="98" t="s">
        <v>411</v>
      </c>
    </row>
    <row r="702" spans="3:11" x14ac:dyDescent="0.25">
      <c r="C702" s="141"/>
      <c r="D702" s="158"/>
      <c r="E702" s="123"/>
      <c r="F702" s="97">
        <f t="shared" si="58"/>
        <v>0</v>
      </c>
      <c r="G702" s="161"/>
      <c r="H702" s="142"/>
      <c r="I702" s="130" t="e">
        <f>VLOOKUP(H702,Presupuesto!$B$11:$C$565,2,0)</f>
        <v>#N/A</v>
      </c>
      <c r="J702" s="98" t="str">
        <f t="shared" si="59"/>
        <v>Gestión Administrativa y  financiera en apoyo al Desarrollo Académico</v>
      </c>
      <c r="K702" s="98" t="s">
        <v>411</v>
      </c>
    </row>
    <row r="704" spans="3:11" ht="15.75" thickBot="1" x14ac:dyDescent="0.3"/>
    <row r="705" spans="3:11" ht="15.75" thickBot="1" x14ac:dyDescent="0.3">
      <c r="C705" s="157" t="s">
        <v>53</v>
      </c>
      <c r="D705" s="372">
        <f>SUM(F712:F720)</f>
        <v>0</v>
      </c>
      <c r="E705" s="465"/>
      <c r="F705" s="70"/>
      <c r="G705" s="79"/>
      <c r="H705" s="70"/>
      <c r="I705" s="70"/>
      <c r="J705" s="465"/>
      <c r="K705" s="465"/>
    </row>
    <row r="706" spans="3:11" x14ac:dyDescent="0.25">
      <c r="C706" s="70"/>
      <c r="D706" s="31"/>
      <c r="E706" s="93"/>
      <c r="F706" s="93"/>
      <c r="G706" s="93"/>
      <c r="H706" s="76"/>
      <c r="I706" s="76"/>
      <c r="J706" s="76"/>
      <c r="K706" s="112"/>
    </row>
    <row r="707" spans="3:11" x14ac:dyDescent="0.25">
      <c r="C707" s="70"/>
      <c r="D707" s="31"/>
      <c r="E707" s="93"/>
      <c r="F707" s="93"/>
      <c r="G707" s="93"/>
      <c r="H707" s="76"/>
      <c r="I707" s="76"/>
      <c r="J707" s="76"/>
      <c r="K707" s="112"/>
    </row>
    <row r="708" spans="3:11" ht="15.75" x14ac:dyDescent="0.25">
      <c r="C708" s="202" t="s">
        <v>391</v>
      </c>
      <c r="D708" s="368"/>
      <c r="E708" s="93"/>
      <c r="F708" s="93"/>
      <c r="G708" s="93"/>
      <c r="H708" s="76"/>
      <c r="I708" s="76"/>
      <c r="J708" s="76"/>
      <c r="K708" s="112"/>
    </row>
    <row r="709" spans="3:11" ht="18.75" x14ac:dyDescent="0.25">
      <c r="C709" s="210" t="e">
        <f>IFERROR(VLOOKUP(D708,'1. Desarrollo e Innov. Curricu.'!$F:$G,2,FALSE),IFERROR(VLOOKUP(D708,'2. Investigación Científica'!$F:$G,2,FALSE),IFERROR(VLOOKUP(D708,'3. Vinculación Univ. Sociedad'!$F:$G,2,FALSE),IFERROR(VLOOKUP(D708,'4. Docencia y Profesorado Univ.'!$F:$G,2,FALSE),IFERROR(VLOOKUP(D708,'5. Estudiantes y Graduados'!$F:$G,2,FALSE),IFERROR(VLOOKUP(D708,'11. Gestion Administrativa'!$F:$G,2,FALSE),IFERROR(VLOOKUP(D708,'13. Gestión Académica'!$F:$G,2,FALSE),IFERROR(VLOOKUP(D708,'9. Asegura. de la Calid. y M'!$F:$G,2,FALSE),IFERROR(VLOOKUP(D708,'6. Gestión del Conocimiento'!$F:$G,2,FALSE),IFERROR(VLOOKUP(D708,'15. Gobernabilidad y Proceso...'!$F:$G,2,FALSE),IFERROR(VLOOKUP(D708,'12. Gestión del Talento Humano'!$F:$G,2,FALSE),IFERROR(VLOOKUP(D708,'14. Internacional... de la E.S.'!$F:$G,2,FALSE),IFERROR(VLOOKUP(D708,'10. Posgrado'!$F:$G,2,FALSE),IFERROR(VLOOKUP(D708,'17. Gestión TIC'!$F:$G,2,FALSE),IFERROR(VLOOKUP(D708,'16. Desa. del Sistema Educ.Sup.'!$F:$G,2,FALSE),IFERROR(VLOOKUP(D708,'8. Cultura de Inno. Insti...'!$F:$G,2,FALSE),VLOOKUP(D708,'7. Lo Esencial de la Reforma U.'!$F:$G,2,0)))))))))))))))))</f>
        <v>#N/A</v>
      </c>
      <c r="D709" s="31"/>
      <c r="E709" s="93"/>
      <c r="F709" s="93"/>
      <c r="G709" s="93"/>
      <c r="H709" s="76"/>
      <c r="I709" s="76"/>
      <c r="J709" s="76"/>
      <c r="K709" s="112"/>
    </row>
    <row r="710" spans="3:11" ht="15.75" thickBot="1" x14ac:dyDescent="0.3">
      <c r="C710" s="465"/>
      <c r="D710" s="465"/>
      <c r="E710" s="465"/>
      <c r="F710" s="93"/>
      <c r="G710" s="76"/>
      <c r="H710" s="76"/>
      <c r="I710" s="76"/>
      <c r="J710" s="465"/>
      <c r="K710" s="465"/>
    </row>
    <row r="711" spans="3:11" ht="30.75" thickBot="1" x14ac:dyDescent="0.3">
      <c r="C711" s="129" t="s">
        <v>44</v>
      </c>
      <c r="D711" s="129" t="s">
        <v>55</v>
      </c>
      <c r="E711" s="136" t="s">
        <v>57</v>
      </c>
      <c r="F711" s="135" t="s">
        <v>27</v>
      </c>
      <c r="G711" s="133" t="s">
        <v>130</v>
      </c>
      <c r="H711" s="136" t="s">
        <v>46</v>
      </c>
      <c r="I711" s="133" t="s">
        <v>131</v>
      </c>
      <c r="J711" s="133" t="s">
        <v>409</v>
      </c>
      <c r="K711" s="133" t="s">
        <v>410</v>
      </c>
    </row>
    <row r="712" spans="3:11" x14ac:dyDescent="0.25">
      <c r="C712" s="220" t="s">
        <v>438</v>
      </c>
      <c r="D712" s="221"/>
      <c r="E712" s="219">
        <f>HLOOKUP(C712,$AH$2:$BU$3,2,0)</f>
        <v>620</v>
      </c>
      <c r="F712" s="97">
        <f t="shared" ref="F712:F720" si="60">D712*E712</f>
        <v>0</v>
      </c>
      <c r="G712" s="161"/>
      <c r="H712" s="142"/>
      <c r="I712" s="130" t="e">
        <f>VLOOKUP(H712,Presupuesto!$B$11:$C$565,2,0)</f>
        <v>#N/A</v>
      </c>
      <c r="J712" s="218" t="s">
        <v>1471</v>
      </c>
      <c r="K712" s="98" t="s">
        <v>393</v>
      </c>
    </row>
    <row r="713" spans="3:11" x14ac:dyDescent="0.25">
      <c r="C713" s="141"/>
      <c r="D713" s="158"/>
      <c r="E713" s="123"/>
      <c r="F713" s="97">
        <f t="shared" si="60"/>
        <v>0</v>
      </c>
      <c r="G713" s="161"/>
      <c r="H713" s="142"/>
      <c r="I713" s="130" t="e">
        <f>VLOOKUP(H713,Presupuesto!$B$11:$C$565,2,0)</f>
        <v>#N/A</v>
      </c>
      <c r="J713" s="98" t="str">
        <f>$J$430</f>
        <v>Gestión Administrativa y  financiera en apoyo al Desarrollo Académico</v>
      </c>
      <c r="K713" s="98" t="s">
        <v>411</v>
      </c>
    </row>
    <row r="714" spans="3:11" x14ac:dyDescent="0.25">
      <c r="C714" s="141"/>
      <c r="D714" s="158"/>
      <c r="E714" s="123"/>
      <c r="F714" s="97">
        <f t="shared" si="60"/>
        <v>0</v>
      </c>
      <c r="G714" s="161"/>
      <c r="H714" s="142"/>
      <c r="I714" s="130" t="e">
        <f>VLOOKUP(H714,Presupuesto!$B$11:$C$565,2,0)</f>
        <v>#N/A</v>
      </c>
      <c r="J714" s="98" t="str">
        <f t="shared" ref="J714:J720" si="61">$J$430</f>
        <v>Gestión Administrativa y  financiera en apoyo al Desarrollo Académico</v>
      </c>
      <c r="K714" s="98" t="s">
        <v>411</v>
      </c>
    </row>
    <row r="715" spans="3:11" x14ac:dyDescent="0.25">
      <c r="C715" s="141"/>
      <c r="D715" s="158"/>
      <c r="E715" s="123"/>
      <c r="F715" s="97">
        <f t="shared" si="60"/>
        <v>0</v>
      </c>
      <c r="G715" s="161"/>
      <c r="H715" s="142"/>
      <c r="I715" s="130" t="e">
        <f>VLOOKUP(H715,Presupuesto!$B$11:$C$565,2,0)</f>
        <v>#N/A</v>
      </c>
      <c r="J715" s="98" t="str">
        <f t="shared" si="61"/>
        <v>Gestión Administrativa y  financiera en apoyo al Desarrollo Académico</v>
      </c>
      <c r="K715" s="98" t="s">
        <v>411</v>
      </c>
    </row>
    <row r="716" spans="3:11" x14ac:dyDescent="0.25">
      <c r="C716" s="141"/>
      <c r="D716" s="158"/>
      <c r="E716" s="123"/>
      <c r="F716" s="97">
        <f t="shared" si="60"/>
        <v>0</v>
      </c>
      <c r="G716" s="161"/>
      <c r="H716" s="142"/>
      <c r="I716" s="130" t="e">
        <f>VLOOKUP(H716,Presupuesto!$B$11:$C$565,2,0)</f>
        <v>#N/A</v>
      </c>
      <c r="J716" s="98" t="str">
        <f t="shared" si="61"/>
        <v>Gestión Administrativa y  financiera en apoyo al Desarrollo Académico</v>
      </c>
      <c r="K716" s="98" t="s">
        <v>411</v>
      </c>
    </row>
    <row r="717" spans="3:11" x14ac:dyDescent="0.25">
      <c r="C717" s="141"/>
      <c r="D717" s="158"/>
      <c r="E717" s="123"/>
      <c r="F717" s="97">
        <f t="shared" si="60"/>
        <v>0</v>
      </c>
      <c r="G717" s="161"/>
      <c r="H717" s="142"/>
      <c r="I717" s="130" t="e">
        <f>VLOOKUP(H717,Presupuesto!$B$11:$C$565,2,0)</f>
        <v>#N/A</v>
      </c>
      <c r="J717" s="98" t="str">
        <f t="shared" si="61"/>
        <v>Gestión Administrativa y  financiera en apoyo al Desarrollo Académico</v>
      </c>
      <c r="K717" s="98" t="s">
        <v>400</v>
      </c>
    </row>
    <row r="718" spans="3:11" x14ac:dyDescent="0.25">
      <c r="C718" s="141"/>
      <c r="D718" s="158"/>
      <c r="E718" s="123"/>
      <c r="F718" s="97">
        <f t="shared" si="60"/>
        <v>0</v>
      </c>
      <c r="G718" s="161"/>
      <c r="H718" s="142"/>
      <c r="I718" s="130" t="e">
        <f>VLOOKUP(H718,Presupuesto!$B$11:$C$565,2,0)</f>
        <v>#N/A</v>
      </c>
      <c r="J718" s="98" t="str">
        <f t="shared" si="61"/>
        <v>Gestión Administrativa y  financiera en apoyo al Desarrollo Académico</v>
      </c>
      <c r="K718" s="98" t="s">
        <v>411</v>
      </c>
    </row>
    <row r="719" spans="3:11" x14ac:dyDescent="0.25">
      <c r="C719" s="141"/>
      <c r="D719" s="158"/>
      <c r="E719" s="123"/>
      <c r="F719" s="97">
        <f t="shared" si="60"/>
        <v>0</v>
      </c>
      <c r="G719" s="161"/>
      <c r="H719" s="142"/>
      <c r="I719" s="130" t="e">
        <f>VLOOKUP(H719,Presupuesto!$B$11:$C$565,2,0)</f>
        <v>#N/A</v>
      </c>
      <c r="J719" s="98" t="str">
        <f t="shared" si="61"/>
        <v>Gestión Administrativa y  financiera en apoyo al Desarrollo Académico</v>
      </c>
      <c r="K719" s="98" t="s">
        <v>411</v>
      </c>
    </row>
    <row r="720" spans="3:11" x14ac:dyDescent="0.25">
      <c r="C720" s="141"/>
      <c r="D720" s="158"/>
      <c r="E720" s="123"/>
      <c r="F720" s="97">
        <f t="shared" si="60"/>
        <v>0</v>
      </c>
      <c r="G720" s="161"/>
      <c r="H720" s="142"/>
      <c r="I720" s="130" t="e">
        <f>VLOOKUP(H720,Presupuesto!$B$11:$C$565,2,0)</f>
        <v>#N/A</v>
      </c>
      <c r="J720" s="98" t="str">
        <f t="shared" si="61"/>
        <v>Gestión Administrativa y  financiera en apoyo al Desarrollo Académico</v>
      </c>
      <c r="K720" s="98" t="s">
        <v>411</v>
      </c>
    </row>
    <row r="723" spans="3:11" ht="15.75" thickBot="1" x14ac:dyDescent="0.3"/>
    <row r="724" spans="3:11" ht="15.75" thickBot="1" x14ac:dyDescent="0.3">
      <c r="C724" s="157" t="s">
        <v>53</v>
      </c>
      <c r="D724" s="372">
        <f>SUM(F731:F739)</f>
        <v>0</v>
      </c>
      <c r="E724" s="465"/>
      <c r="F724" s="70"/>
      <c r="G724" s="79"/>
      <c r="H724" s="70"/>
      <c r="I724" s="70"/>
      <c r="J724" s="465"/>
      <c r="K724" s="465"/>
    </row>
    <row r="725" spans="3:11" x14ac:dyDescent="0.25">
      <c r="C725" s="70"/>
      <c r="D725" s="31"/>
      <c r="E725" s="93"/>
      <c r="F725" s="93"/>
      <c r="G725" s="93"/>
      <c r="H725" s="76"/>
      <c r="I725" s="76"/>
      <c r="J725" s="76"/>
      <c r="K725" s="112"/>
    </row>
    <row r="726" spans="3:11" x14ac:dyDescent="0.25">
      <c r="C726" s="70"/>
      <c r="D726" s="31"/>
      <c r="E726" s="93"/>
      <c r="F726" s="93"/>
      <c r="G726" s="93"/>
      <c r="H726" s="76"/>
      <c r="I726" s="76"/>
      <c r="J726" s="76"/>
      <c r="K726" s="112"/>
    </row>
    <row r="727" spans="3:11" ht="15.75" x14ac:dyDescent="0.25">
      <c r="C727" s="202" t="s">
        <v>391</v>
      </c>
      <c r="D727" s="368"/>
      <c r="E727" s="93"/>
      <c r="F727" s="93"/>
      <c r="G727" s="93"/>
      <c r="H727" s="76"/>
      <c r="I727" s="76"/>
      <c r="J727" s="76"/>
      <c r="K727" s="112"/>
    </row>
    <row r="728" spans="3:11" ht="18.75" x14ac:dyDescent="0.25">
      <c r="C728" s="210" t="e">
        <f>IFERROR(VLOOKUP(D727,'1. Desarrollo e Innov. Curricu.'!$F:$G,2,FALSE),IFERROR(VLOOKUP(D727,'2. Investigación Científica'!$F:$G,2,FALSE),IFERROR(VLOOKUP(D727,'3. Vinculación Univ. Sociedad'!$F:$G,2,FALSE),IFERROR(VLOOKUP(D727,'4. Docencia y Profesorado Univ.'!$F:$G,2,FALSE),IFERROR(VLOOKUP(D727,'5. Estudiantes y Graduados'!$F:$G,2,FALSE),IFERROR(VLOOKUP(D727,'11. Gestion Administrativa'!$F:$G,2,FALSE),IFERROR(VLOOKUP(D727,'13. Gestión Académica'!$F:$G,2,FALSE),IFERROR(VLOOKUP(D727,'9. Asegura. de la Calid. y M'!$F:$G,2,FALSE),IFERROR(VLOOKUP(D727,'6. Gestión del Conocimiento'!$F:$G,2,FALSE),IFERROR(VLOOKUP(D727,'15. Gobernabilidad y Proceso...'!$F:$G,2,FALSE),IFERROR(VLOOKUP(D727,'12. Gestión del Talento Humano'!$F:$G,2,FALSE),IFERROR(VLOOKUP(D727,'14. Internacional... de la E.S.'!$F:$G,2,FALSE),IFERROR(VLOOKUP(D727,'10. Posgrado'!$F:$G,2,FALSE),IFERROR(VLOOKUP(D727,'17. Gestión TIC'!$F:$G,2,FALSE),IFERROR(VLOOKUP(D727,'16. Desa. del Sistema Educ.Sup.'!$F:$G,2,FALSE),IFERROR(VLOOKUP(D727,'8. Cultura de Inno. Insti...'!$F:$G,2,FALSE),VLOOKUP(D727,'7. Lo Esencial de la Reforma U.'!$F:$G,2,0)))))))))))))))))</f>
        <v>#N/A</v>
      </c>
      <c r="D728" s="31"/>
      <c r="E728" s="93"/>
      <c r="F728" s="93"/>
      <c r="G728" s="93"/>
      <c r="H728" s="76"/>
      <c r="I728" s="76"/>
      <c r="J728" s="76"/>
      <c r="K728" s="112"/>
    </row>
    <row r="729" spans="3:11" ht="15.75" thickBot="1" x14ac:dyDescent="0.3">
      <c r="C729" s="465"/>
      <c r="D729" s="465"/>
      <c r="E729" s="465"/>
      <c r="F729" s="93"/>
      <c r="G729" s="76"/>
      <c r="H729" s="76"/>
      <c r="I729" s="76"/>
      <c r="J729" s="465"/>
      <c r="K729" s="465"/>
    </row>
    <row r="730" spans="3:11" ht="30.75" thickBot="1" x14ac:dyDescent="0.3">
      <c r="C730" s="129" t="s">
        <v>44</v>
      </c>
      <c r="D730" s="129" t="s">
        <v>55</v>
      </c>
      <c r="E730" s="136" t="s">
        <v>57</v>
      </c>
      <c r="F730" s="135" t="s">
        <v>27</v>
      </c>
      <c r="G730" s="133" t="s">
        <v>130</v>
      </c>
      <c r="H730" s="136" t="s">
        <v>46</v>
      </c>
      <c r="I730" s="133" t="s">
        <v>131</v>
      </c>
      <c r="J730" s="133" t="s">
        <v>409</v>
      </c>
      <c r="K730" s="133" t="s">
        <v>410</v>
      </c>
    </row>
    <row r="731" spans="3:11" x14ac:dyDescent="0.25">
      <c r="C731" s="220" t="s">
        <v>438</v>
      </c>
      <c r="D731" s="221"/>
      <c r="E731" s="219">
        <f>HLOOKUP(C731,$AH$2:$BU$3,2,0)</f>
        <v>620</v>
      </c>
      <c r="F731" s="97">
        <f t="shared" ref="F731:F739" si="62">D731*E731</f>
        <v>0</v>
      </c>
      <c r="G731" s="161"/>
      <c r="H731" s="142"/>
      <c r="I731" s="130" t="e">
        <f>VLOOKUP(H731,Presupuesto!$B$11:$C$565,2,0)</f>
        <v>#N/A</v>
      </c>
      <c r="J731" s="218" t="s">
        <v>1471</v>
      </c>
      <c r="K731" s="98" t="s">
        <v>393</v>
      </c>
    </row>
    <row r="732" spans="3:11" x14ac:dyDescent="0.25">
      <c r="C732" s="141"/>
      <c r="D732" s="158"/>
      <c r="E732" s="123"/>
      <c r="F732" s="97">
        <f t="shared" si="62"/>
        <v>0</v>
      </c>
      <c r="G732" s="161"/>
      <c r="H732" s="142"/>
      <c r="I732" s="130" t="e">
        <f>VLOOKUP(H732,Presupuesto!$B$11:$C$565,2,0)</f>
        <v>#N/A</v>
      </c>
      <c r="J732" s="98" t="str">
        <f>$J$430</f>
        <v>Gestión Administrativa y  financiera en apoyo al Desarrollo Académico</v>
      </c>
      <c r="K732" s="98" t="s">
        <v>411</v>
      </c>
    </row>
    <row r="733" spans="3:11" x14ac:dyDescent="0.25">
      <c r="C733" s="141"/>
      <c r="D733" s="158"/>
      <c r="E733" s="123"/>
      <c r="F733" s="97">
        <f t="shared" si="62"/>
        <v>0</v>
      </c>
      <c r="G733" s="161"/>
      <c r="H733" s="142"/>
      <c r="I733" s="130" t="e">
        <f>VLOOKUP(H733,Presupuesto!$B$11:$C$565,2,0)</f>
        <v>#N/A</v>
      </c>
      <c r="J733" s="98" t="str">
        <f t="shared" ref="J733:J739" si="63">$J$430</f>
        <v>Gestión Administrativa y  financiera en apoyo al Desarrollo Académico</v>
      </c>
      <c r="K733" s="98" t="s">
        <v>411</v>
      </c>
    </row>
    <row r="734" spans="3:11" x14ac:dyDescent="0.25">
      <c r="C734" s="141"/>
      <c r="D734" s="158"/>
      <c r="E734" s="123"/>
      <c r="F734" s="97">
        <f t="shared" si="62"/>
        <v>0</v>
      </c>
      <c r="G734" s="161"/>
      <c r="H734" s="142"/>
      <c r="I734" s="130" t="e">
        <f>VLOOKUP(H734,Presupuesto!$B$11:$C$565,2,0)</f>
        <v>#N/A</v>
      </c>
      <c r="J734" s="98" t="str">
        <f t="shared" si="63"/>
        <v>Gestión Administrativa y  financiera en apoyo al Desarrollo Académico</v>
      </c>
      <c r="K734" s="98" t="s">
        <v>411</v>
      </c>
    </row>
    <row r="735" spans="3:11" x14ac:dyDescent="0.25">
      <c r="C735" s="141"/>
      <c r="D735" s="158"/>
      <c r="E735" s="123"/>
      <c r="F735" s="97">
        <f t="shared" si="62"/>
        <v>0</v>
      </c>
      <c r="G735" s="161"/>
      <c r="H735" s="142"/>
      <c r="I735" s="130" t="e">
        <f>VLOOKUP(H735,Presupuesto!$B$11:$C$565,2,0)</f>
        <v>#N/A</v>
      </c>
      <c r="J735" s="98" t="str">
        <f t="shared" si="63"/>
        <v>Gestión Administrativa y  financiera en apoyo al Desarrollo Académico</v>
      </c>
      <c r="K735" s="98" t="s">
        <v>411</v>
      </c>
    </row>
    <row r="736" spans="3:11" x14ac:dyDescent="0.25">
      <c r="C736" s="141"/>
      <c r="D736" s="158"/>
      <c r="E736" s="123"/>
      <c r="F736" s="97">
        <f t="shared" si="62"/>
        <v>0</v>
      </c>
      <c r="G736" s="161"/>
      <c r="H736" s="142"/>
      <c r="I736" s="130" t="e">
        <f>VLOOKUP(H736,Presupuesto!$B$11:$C$565,2,0)</f>
        <v>#N/A</v>
      </c>
      <c r="J736" s="98" t="str">
        <f t="shared" si="63"/>
        <v>Gestión Administrativa y  financiera en apoyo al Desarrollo Académico</v>
      </c>
      <c r="K736" s="98" t="s">
        <v>400</v>
      </c>
    </row>
    <row r="737" spans="3:11" x14ac:dyDescent="0.25">
      <c r="C737" s="141"/>
      <c r="D737" s="158"/>
      <c r="E737" s="123"/>
      <c r="F737" s="97">
        <f t="shared" si="62"/>
        <v>0</v>
      </c>
      <c r="G737" s="161"/>
      <c r="H737" s="142"/>
      <c r="I737" s="130" t="e">
        <f>VLOOKUP(H737,Presupuesto!$B$11:$C$565,2,0)</f>
        <v>#N/A</v>
      </c>
      <c r="J737" s="98" t="str">
        <f t="shared" si="63"/>
        <v>Gestión Administrativa y  financiera en apoyo al Desarrollo Académico</v>
      </c>
      <c r="K737" s="98" t="s">
        <v>411</v>
      </c>
    </row>
    <row r="738" spans="3:11" x14ac:dyDescent="0.25">
      <c r="C738" s="141"/>
      <c r="D738" s="158"/>
      <c r="E738" s="123"/>
      <c r="F738" s="97">
        <f t="shared" si="62"/>
        <v>0</v>
      </c>
      <c r="G738" s="161"/>
      <c r="H738" s="142"/>
      <c r="I738" s="130" t="e">
        <f>VLOOKUP(H738,Presupuesto!$B$11:$C$565,2,0)</f>
        <v>#N/A</v>
      </c>
      <c r="J738" s="98" t="str">
        <f t="shared" si="63"/>
        <v>Gestión Administrativa y  financiera en apoyo al Desarrollo Académico</v>
      </c>
      <c r="K738" s="98" t="s">
        <v>411</v>
      </c>
    </row>
    <row r="739" spans="3:11" x14ac:dyDescent="0.25">
      <c r="C739" s="141"/>
      <c r="D739" s="158"/>
      <c r="E739" s="123"/>
      <c r="F739" s="97">
        <f t="shared" si="62"/>
        <v>0</v>
      </c>
      <c r="G739" s="161"/>
      <c r="H739" s="142"/>
      <c r="I739" s="130" t="e">
        <f>VLOOKUP(H739,Presupuesto!$B$11:$C$565,2,0)</f>
        <v>#N/A</v>
      </c>
      <c r="J739" s="98" t="str">
        <f t="shared" si="63"/>
        <v>Gestión Administrativa y  financiera en apoyo al Desarrollo Académico</v>
      </c>
      <c r="K739" s="98" t="s">
        <v>411</v>
      </c>
    </row>
    <row r="741" spans="3:11" ht="15.75" thickBot="1" x14ac:dyDescent="0.3"/>
    <row r="742" spans="3:11" ht="15.75" thickBot="1" x14ac:dyDescent="0.3">
      <c r="C742" s="157" t="s">
        <v>53</v>
      </c>
      <c r="D742" s="372">
        <f>SUM(F749:F757)</f>
        <v>0</v>
      </c>
      <c r="E742" s="465"/>
      <c r="F742" s="70"/>
      <c r="G742" s="79"/>
      <c r="H742" s="70"/>
      <c r="I742" s="70"/>
      <c r="J742" s="465"/>
      <c r="K742" s="465"/>
    </row>
    <row r="743" spans="3:11" x14ac:dyDescent="0.25">
      <c r="C743" s="70"/>
      <c r="D743" s="31"/>
      <c r="E743" s="93"/>
      <c r="F743" s="93"/>
      <c r="G743" s="93"/>
      <c r="H743" s="76"/>
      <c r="I743" s="76"/>
      <c r="J743" s="76"/>
      <c r="K743" s="112"/>
    </row>
    <row r="744" spans="3:11" x14ac:dyDescent="0.25">
      <c r="C744" s="70"/>
      <c r="D744" s="31"/>
      <c r="E744" s="93"/>
      <c r="F744" s="93"/>
      <c r="G744" s="93"/>
      <c r="H744" s="76"/>
      <c r="I744" s="76"/>
      <c r="J744" s="76"/>
      <c r="K744" s="112"/>
    </row>
    <row r="745" spans="3:11" ht="15.75" x14ac:dyDescent="0.25">
      <c r="C745" s="202" t="s">
        <v>391</v>
      </c>
      <c r="D745" s="368"/>
      <c r="E745" s="93"/>
      <c r="F745" s="93"/>
      <c r="G745" s="93"/>
      <c r="H745" s="76"/>
      <c r="I745" s="76"/>
      <c r="J745" s="76"/>
      <c r="K745" s="112"/>
    </row>
    <row r="746" spans="3:11" ht="18.75" x14ac:dyDescent="0.25">
      <c r="C746" s="210" t="e">
        <f>IFERROR(VLOOKUP(D745,'1. Desarrollo e Innov. Curricu.'!$F:$G,2,FALSE),IFERROR(VLOOKUP(D745,'2. Investigación Científica'!$F:$G,2,FALSE),IFERROR(VLOOKUP(D745,'3. Vinculación Univ. Sociedad'!$F:$G,2,FALSE),IFERROR(VLOOKUP(D745,'4. Docencia y Profesorado Univ.'!$F:$G,2,FALSE),IFERROR(VLOOKUP(D745,'5. Estudiantes y Graduados'!$F:$G,2,FALSE),IFERROR(VLOOKUP(D745,'11. Gestion Administrativa'!$F:$G,2,FALSE),IFERROR(VLOOKUP(D745,'13. Gestión Académica'!$F:$G,2,FALSE),IFERROR(VLOOKUP(D745,'9. Asegura. de la Calid. y M'!$F:$G,2,FALSE),IFERROR(VLOOKUP(D745,'6. Gestión del Conocimiento'!$F:$G,2,FALSE),IFERROR(VLOOKUP(D745,'15. Gobernabilidad y Proceso...'!$F:$G,2,FALSE),IFERROR(VLOOKUP(D745,'12. Gestión del Talento Humano'!$F:$G,2,FALSE),IFERROR(VLOOKUP(D745,'14. Internacional... de la E.S.'!$F:$G,2,FALSE),IFERROR(VLOOKUP(D745,'10. Posgrado'!$F:$G,2,FALSE),IFERROR(VLOOKUP(D745,'17. Gestión TIC'!$F:$G,2,FALSE),IFERROR(VLOOKUP(D745,'16. Desa. del Sistema Educ.Sup.'!$F:$G,2,FALSE),IFERROR(VLOOKUP(D745,'8. Cultura de Inno. Insti...'!$F:$G,2,FALSE),VLOOKUP(D745,'7. Lo Esencial de la Reforma U.'!$F:$G,2,0)))))))))))))))))</f>
        <v>#N/A</v>
      </c>
      <c r="D746" s="31"/>
      <c r="E746" s="93"/>
      <c r="F746" s="93"/>
      <c r="G746" s="93"/>
      <c r="H746" s="76"/>
      <c r="I746" s="76"/>
      <c r="J746" s="76"/>
      <c r="K746" s="112"/>
    </row>
    <row r="747" spans="3:11" ht="15.75" thickBot="1" x14ac:dyDescent="0.3">
      <c r="C747" s="465"/>
      <c r="D747" s="465"/>
      <c r="E747" s="465"/>
      <c r="F747" s="93"/>
      <c r="G747" s="76"/>
      <c r="H747" s="76"/>
      <c r="I747" s="76"/>
      <c r="J747" s="465"/>
      <c r="K747" s="465"/>
    </row>
    <row r="748" spans="3:11" ht="30.75" thickBot="1" x14ac:dyDescent="0.3">
      <c r="C748" s="129" t="s">
        <v>44</v>
      </c>
      <c r="D748" s="129" t="s">
        <v>55</v>
      </c>
      <c r="E748" s="136" t="s">
        <v>57</v>
      </c>
      <c r="F748" s="135" t="s">
        <v>27</v>
      </c>
      <c r="G748" s="133" t="s">
        <v>130</v>
      </c>
      <c r="H748" s="136" t="s">
        <v>46</v>
      </c>
      <c r="I748" s="133" t="s">
        <v>131</v>
      </c>
      <c r="J748" s="133" t="s">
        <v>409</v>
      </c>
      <c r="K748" s="133" t="s">
        <v>410</v>
      </c>
    </row>
    <row r="749" spans="3:11" x14ac:dyDescent="0.25">
      <c r="C749" s="220" t="s">
        <v>438</v>
      </c>
      <c r="D749" s="221"/>
      <c r="E749" s="219">
        <f>HLOOKUP(C749,$AH$2:$BU$3,2,0)</f>
        <v>620</v>
      </c>
      <c r="F749" s="97">
        <f t="shared" ref="F749:F757" si="64">D749*E749</f>
        <v>0</v>
      </c>
      <c r="G749" s="161"/>
      <c r="H749" s="142"/>
      <c r="I749" s="130" t="e">
        <f>VLOOKUP(H749,Presupuesto!$B$11:$C$565,2,0)</f>
        <v>#N/A</v>
      </c>
      <c r="J749" s="218" t="s">
        <v>1471</v>
      </c>
      <c r="K749" s="98" t="s">
        <v>393</v>
      </c>
    </row>
    <row r="750" spans="3:11" x14ac:dyDescent="0.25">
      <c r="C750" s="141"/>
      <c r="D750" s="158"/>
      <c r="E750" s="123"/>
      <c r="F750" s="97">
        <f t="shared" si="64"/>
        <v>0</v>
      </c>
      <c r="G750" s="161"/>
      <c r="H750" s="142"/>
      <c r="I750" s="130" t="e">
        <f>VLOOKUP(H750,Presupuesto!$B$11:$C$565,2,0)</f>
        <v>#N/A</v>
      </c>
      <c r="J750" s="98" t="str">
        <f>$J$430</f>
        <v>Gestión Administrativa y  financiera en apoyo al Desarrollo Académico</v>
      </c>
      <c r="K750" s="98" t="s">
        <v>411</v>
      </c>
    </row>
    <row r="751" spans="3:11" x14ac:dyDescent="0.25">
      <c r="C751" s="141"/>
      <c r="D751" s="158"/>
      <c r="E751" s="123"/>
      <c r="F751" s="97">
        <f t="shared" si="64"/>
        <v>0</v>
      </c>
      <c r="G751" s="161"/>
      <c r="H751" s="142"/>
      <c r="I751" s="130" t="e">
        <f>VLOOKUP(H751,Presupuesto!$B$11:$C$565,2,0)</f>
        <v>#N/A</v>
      </c>
      <c r="J751" s="98" t="str">
        <f t="shared" ref="J751:J757" si="65">$J$430</f>
        <v>Gestión Administrativa y  financiera en apoyo al Desarrollo Académico</v>
      </c>
      <c r="K751" s="98" t="s">
        <v>411</v>
      </c>
    </row>
    <row r="752" spans="3:11" x14ac:dyDescent="0.25">
      <c r="C752" s="141"/>
      <c r="D752" s="158"/>
      <c r="E752" s="123"/>
      <c r="F752" s="97">
        <f t="shared" si="64"/>
        <v>0</v>
      </c>
      <c r="G752" s="161"/>
      <c r="H752" s="142"/>
      <c r="I752" s="130" t="e">
        <f>VLOOKUP(H752,Presupuesto!$B$11:$C$565,2,0)</f>
        <v>#N/A</v>
      </c>
      <c r="J752" s="98" t="str">
        <f t="shared" si="65"/>
        <v>Gestión Administrativa y  financiera en apoyo al Desarrollo Académico</v>
      </c>
      <c r="K752" s="98" t="s">
        <v>411</v>
      </c>
    </row>
    <row r="753" spans="3:11" x14ac:dyDescent="0.25">
      <c r="C753" s="141"/>
      <c r="D753" s="158"/>
      <c r="E753" s="123"/>
      <c r="F753" s="97">
        <f t="shared" si="64"/>
        <v>0</v>
      </c>
      <c r="G753" s="161"/>
      <c r="H753" s="142"/>
      <c r="I753" s="130" t="e">
        <f>VLOOKUP(H753,Presupuesto!$B$11:$C$565,2,0)</f>
        <v>#N/A</v>
      </c>
      <c r="J753" s="98" t="str">
        <f t="shared" si="65"/>
        <v>Gestión Administrativa y  financiera en apoyo al Desarrollo Académico</v>
      </c>
      <c r="K753" s="98" t="s">
        <v>411</v>
      </c>
    </row>
    <row r="754" spans="3:11" x14ac:dyDescent="0.25">
      <c r="C754" s="141"/>
      <c r="D754" s="158"/>
      <c r="E754" s="123"/>
      <c r="F754" s="97">
        <f t="shared" si="64"/>
        <v>0</v>
      </c>
      <c r="G754" s="161"/>
      <c r="H754" s="142"/>
      <c r="I754" s="130" t="e">
        <f>VLOOKUP(H754,Presupuesto!$B$11:$C$565,2,0)</f>
        <v>#N/A</v>
      </c>
      <c r="J754" s="98" t="str">
        <f t="shared" si="65"/>
        <v>Gestión Administrativa y  financiera en apoyo al Desarrollo Académico</v>
      </c>
      <c r="K754" s="98" t="s">
        <v>400</v>
      </c>
    </row>
    <row r="755" spans="3:11" x14ac:dyDescent="0.25">
      <c r="C755" s="141"/>
      <c r="D755" s="158"/>
      <c r="E755" s="123"/>
      <c r="F755" s="97">
        <f t="shared" si="64"/>
        <v>0</v>
      </c>
      <c r="G755" s="161"/>
      <c r="H755" s="142"/>
      <c r="I755" s="130" t="e">
        <f>VLOOKUP(H755,Presupuesto!$B$11:$C$565,2,0)</f>
        <v>#N/A</v>
      </c>
      <c r="J755" s="98" t="str">
        <f t="shared" si="65"/>
        <v>Gestión Administrativa y  financiera en apoyo al Desarrollo Académico</v>
      </c>
      <c r="K755" s="98" t="s">
        <v>411</v>
      </c>
    </row>
    <row r="756" spans="3:11" x14ac:dyDescent="0.25">
      <c r="C756" s="141"/>
      <c r="D756" s="158"/>
      <c r="E756" s="123"/>
      <c r="F756" s="97">
        <f t="shared" si="64"/>
        <v>0</v>
      </c>
      <c r="G756" s="161"/>
      <c r="H756" s="142"/>
      <c r="I756" s="130" t="e">
        <f>VLOOKUP(H756,Presupuesto!$B$11:$C$565,2,0)</f>
        <v>#N/A</v>
      </c>
      <c r="J756" s="98" t="str">
        <f t="shared" si="65"/>
        <v>Gestión Administrativa y  financiera en apoyo al Desarrollo Académico</v>
      </c>
      <c r="K756" s="98" t="s">
        <v>411</v>
      </c>
    </row>
    <row r="757" spans="3:11" x14ac:dyDescent="0.25">
      <c r="C757" s="141"/>
      <c r="D757" s="158"/>
      <c r="E757" s="123"/>
      <c r="F757" s="97">
        <f t="shared" si="64"/>
        <v>0</v>
      </c>
      <c r="G757" s="161"/>
      <c r="H757" s="142"/>
      <c r="I757" s="130" t="e">
        <f>VLOOKUP(H757,Presupuesto!$B$11:$C$565,2,0)</f>
        <v>#N/A</v>
      </c>
      <c r="J757" s="98" t="str">
        <f t="shared" si="65"/>
        <v>Gestión Administrativa y  financiera en apoyo al Desarrollo Académico</v>
      </c>
      <c r="K757" s="98" t="s">
        <v>411</v>
      </c>
    </row>
  </sheetData>
  <dataConsolidate/>
  <conditionalFormatting sqref="H431">
    <cfRule type="duplicateValues" dxfId="2" priority="2"/>
  </conditionalFormatting>
  <conditionalFormatting sqref="H431">
    <cfRule type="duplicateValues" dxfId="1" priority="1"/>
  </conditionalFormatting>
  <dataValidations xWindow="402" yWindow="640" count="8">
    <dataValidation type="list" allowBlank="1" showInputMessage="1" showErrorMessage="1" errorTitle="¡Ingreso Inválido!" error="Seleccione una opción de la lista." promptTitle="Tipo de Presupuesto" prompt="Seleccione una opción de la lista." sqref="G430:G431 G17:G22 G32:G35 G45:G48 G58:G62 G72:G73 G94:G95 G107:G158 G195:G196 G237:G238 G205:G227 G248:G286 G323 G296:G313 G344 G357:G360 G370:G381 G405:G406 G391:G395 G83:G84 G168:G174 G184:G185 G333:G334 G416:G420 G528:G529 G441:G443 G517 G453:G507 G749:G757 G555:G556 G540:G543 G580:G581 G592:G594 G568:G569 G607:G608 G619:G620 G645:G646 G630:G634 G657:G659 G670:G671 G694:G702 G712:G720 G731:G739 G681:G683">
      <formula1>$R$2:$S$2</formula1>
    </dataValidation>
    <dataValidation type="list" allowBlank="1" showInputMessage="1" showErrorMessage="1" errorTitle="¡Ingreso Inválido!" error="Seleccione una opción de la lista" promptTitle="Mes Requerido" prompt="Seleccione el mes en el que requiere el recurso." sqref="K430:K431 K32:K35 K45:K48 K17:K22 K72:K73 K58:K62 K94:K95 K107:K158 K195:K196 K237:K238 K205:K227 K248:K286 K323 K333:K334 K357:K360 K370:K381 K391:K395 K405:K406 K416:K420 K83:K84 K168:K174 K184:K185 K296:K313 K344 K441:K443 K528:K529 K517 K453:K507 K540:K543 K555:K556 K568:K569 K580:K581 K592:K594 K607:K608 K619:K620 K630:K634 K645:K646 K657:K659 K670:K671 K681:K683 K694:K702 K712:K720 K731:K739 K749:K757">
      <formula1>$U$2:$AF$2</formula1>
    </dataValidation>
    <dataValidation type="list" allowBlank="1" showInputMessage="1" showErrorMessage="1" errorTitle="¡Ingreso Invalido!" error="Seleccione una opción de la lista." promptTitle="Categoria/Zona de Viáticos" prompt="Seleccione una opción de la lista" sqref="C17 C32 C45 C58 C72 C430 C107 C168 C205 C237 C248 C296 C323 C195:C196 C357 C370 C344 C405 C416 C83 C94 C184 C333 C391 C441 C453 C517 C568 C528 C555 C540:C541 C580 C592 C607 C619 C630 C645 C657 C670 C681 C694 C712 C731 C749">
      <formula1>$AH$2:$BU$2</formula1>
    </dataValidation>
    <dataValidation type="list" allowBlank="1" showInputMessage="1" showErrorMessage="1" errorTitle="¡Ingreso Inválido!" error="Verifique el valor ingresado." promptTitle="Ingrese el Objeto de Gasto" prompt="Ingrese el Objeto de Gasto" sqref="H555:H556 H17:H22 H32:H35 H45:H48 H58:H62 H72:H73 H94:H95 H107:H158 H195:H196 H205:H227 H237:H238 H248:H286 H296:H313 H323 H344 H357:H360 H370:H381 H391:H394 H405:H406 H83:H84 H168:H174 H184:H185 H333:H334 H416:H418 H420 H430 H441:H443 H453:H507 H517 H528:H529 H749:H757 H540:H543 H580:H581 H568:H569 H592:H593 H607:H608 H637 H645:H646 H619:H620 H634 H630 H632 H659 H670:H671 H694:H702 H712:H720 H731:H739 H657 H681:H683">
      <formula1>$A$1:$UI$1</formula1>
    </dataValidation>
    <dataValidation type="list" allowBlank="1" showInputMessage="1" showErrorMessage="1" errorTitle="¡Ingreso Inválido!" error="Seleccione una opción de la lista." promptTitle="Dimensión Estratégica" prompt="Seleccione una opción de la lista." sqref="J33:J35 J46:J48 J59:J62 J73 J84 J95 J169:J174 J206:J227 J238 J185 J297:J313 J334 J358:J360 J371:J381 J392:J395 J406 J417:J420 J431 J18:J22 J108:J158 J249:J286 J442:J443 J556 J454:J507 J750:J757 J581 J569 J608 J593:J594 J620 J646 J631:J634 J732:J739 J713:J720 J695:J702 J682:J683">
      <formula1>$A$2:$P$2</formula1>
    </dataValidation>
    <dataValidation type="list" allowBlank="1" showInputMessage="1" showErrorMessage="1" errorTitle="¡Ingreso Inválido!" error="Seleccione una opción de la lista." promptTitle="Dimensión Estratégica" prompt="Seleccione una opción de la lista." sqref="J17 J32 J45 J58 J72 J83 J107 J168 J205 J237 J248 J296 J323 J333 J357 J370 J391 J405 J416 J430 J94 J184 J195:J196 J344 J441 J453 J517 J555 J749 J540:J543 J528:J529 J580 J592 J607 J568 J630 J645 J619 J657:J659 J681 J694 J712 J731 J670:J671">
      <formula1>$A$2:$Q$2</formula1>
    </dataValidation>
    <dataValidation type="list" allowBlank="1" showInputMessage="1" showErrorMessage="1" errorTitle="¡Ingreso Inválido!" error="Verifique el valor ingresado._x000a_" sqref="H395 H419 H594 H638 H633 H631 H658">
      <formula1>$A$1:$UI$1</formula1>
    </dataValidation>
    <dataValidation type="list" allowBlank="1" showInputMessage="1" showErrorMessage="1" errorTitle="¡Ingreso Inválido!" error="Verifique el valor ingresado." promptTitle="Ingrese el Objeto de Gasto" prompt="Ingrese el Objeto de Gasto" sqref="H431">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x14ac:dyDescent="0.25">
      <c r="A2" s="122" t="s">
        <v>1356</v>
      </c>
      <c r="B2" s="122" t="s">
        <v>1358</v>
      </c>
      <c r="C2" s="122" t="s">
        <v>470</v>
      </c>
      <c r="D2" s="122" t="s">
        <v>1357</v>
      </c>
      <c r="E2" s="122" t="s">
        <v>1359</v>
      </c>
      <c r="F2" s="122" t="s">
        <v>471</v>
      </c>
      <c r="G2" s="160" t="s">
        <v>1360</v>
      </c>
      <c r="H2" s="122" t="s">
        <v>1361</v>
      </c>
      <c r="I2" s="122" t="s">
        <v>1362</v>
      </c>
      <c r="J2" s="122" t="s">
        <v>1449</v>
      </c>
      <c r="K2" s="122" t="s">
        <v>1363</v>
      </c>
      <c r="L2" s="122" t="s">
        <v>1364</v>
      </c>
      <c r="M2" s="122" t="s">
        <v>1365</v>
      </c>
      <c r="N2" s="122" t="s">
        <v>1366</v>
      </c>
      <c r="O2" s="122" t="s">
        <v>1367</v>
      </c>
      <c r="P2" s="122" t="s">
        <v>1471</v>
      </c>
      <c r="Q2" s="122" t="s">
        <v>1506</v>
      </c>
      <c r="R2" s="461" t="str">
        <f>+Presupuesto!D11</f>
        <v>Recurrente</v>
      </c>
      <c r="S2" s="461"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x14ac:dyDescent="0.25">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8">
        <f>+'Cuadro Resumen'!C215</f>
        <v>4404.0555000000004</v>
      </c>
      <c r="BK3" s="458">
        <f>+'Cuadro Resumen'!D215</f>
        <v>4065.2820000000002</v>
      </c>
      <c r="BL3" s="458">
        <f>+'Cuadro Resumen'!E215</f>
        <v>5420.3760000000002</v>
      </c>
      <c r="BM3" s="458">
        <f>+'Cuadro Resumen'!F215</f>
        <v>4968.6779999999999</v>
      </c>
      <c r="BN3" s="458">
        <f>+'Cuadro Resumen'!C216</f>
        <v>3726.5085000000004</v>
      </c>
      <c r="BO3" s="458">
        <f>+'Cuadro Resumen'!D216</f>
        <v>3387.7350000000001</v>
      </c>
      <c r="BP3" s="458">
        <f>+'Cuadro Resumen'!E216</f>
        <v>4742.8290000000006</v>
      </c>
      <c r="BQ3" s="458">
        <f>+'Cuadro Resumen'!F216</f>
        <v>4404.0555000000004</v>
      </c>
      <c r="BR3" s="458">
        <f>+'Cuadro Resumen'!C217</f>
        <v>3274.8105</v>
      </c>
      <c r="BS3" s="458">
        <f>+'Cuadro Resumen'!D217</f>
        <v>3048.9615000000003</v>
      </c>
      <c r="BT3" s="458">
        <f>+'Cuadro Resumen'!E217</f>
        <v>4178.2065000000002</v>
      </c>
      <c r="BU3" s="458">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2">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8"/>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x14ac:dyDescent="0.25">
      <c r="C17" s="141"/>
      <c r="D17" s="158"/>
      <c r="E17" s="115"/>
      <c r="F17" s="97">
        <f t="shared" ref="F17:F38" si="0">D17*E17</f>
        <v>0</v>
      </c>
      <c r="G17" s="161"/>
      <c r="H17" s="142" t="s">
        <v>1065</v>
      </c>
      <c r="I17" s="130" t="str">
        <f>VLOOKUP(H17,Presupuesto!$B$11:$C$565,2,0)</f>
        <v>BECAS</v>
      </c>
      <c r="J17" s="218" t="s">
        <v>1449</v>
      </c>
      <c r="K17" s="98" t="s">
        <v>393</v>
      </c>
      <c r="L17" s="98"/>
    </row>
    <row r="18" spans="3:12" x14ac:dyDescent="0.25">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1083</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1099</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8"/>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1449</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8"/>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1449</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8"/>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1449</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2016-10-14T16:24:01Z</cp:lastPrinted>
  <dcterms:created xsi:type="dcterms:W3CDTF">2010-05-02T01:28:32Z</dcterms:created>
  <dcterms:modified xsi:type="dcterms:W3CDTF">2016-12-01T21:53:24Z</dcterms:modified>
</cp:coreProperties>
</file>