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
    </mc:Choice>
  </mc:AlternateContent>
  <bookViews>
    <workbookView xWindow="0" yWindow="840" windowWidth="11880" windowHeight="3135" tabRatio="767" firstSheet="18" activeTab="18"/>
  </bookViews>
  <sheets>
    <sheet name="CME VACIO" sheetId="4" state="hidden" r:id="rId1"/>
    <sheet name="Cuadro Resumen" sheetId="27" r:id="rId2"/>
    <sheet name="Presupuesto" sheetId="38" r:id="rId3"/>
    <sheet name="2. CONTRATACION DE PERSONAL" sheetId="8" r:id="rId4"/>
    <sheet name="1. TALLERES SEMINARIOS" sheetId="7" r:id="rId5"/>
    <sheet name="4. EQUIPO TECNOLÓGICOS" sheetId="10" r:id="rId6"/>
    <sheet name="3. EQUIPO DE OFICINA" sheetId="9" r:id="rId7"/>
    <sheet name="5. ACTIVIDADES ESPECIALES" sheetId="12" r:id="rId8"/>
    <sheet name="6. Becas" sheetId="40" r:id="rId9"/>
    <sheet name="7. Infraestructura" sheetId="42" r:id="rId10"/>
    <sheet name="Hoja3" sheetId="53" r:id="rId11"/>
    <sheet name="8. Venta de Servicios" sheetId="43" r:id="rId12"/>
    <sheet name="1. Desarrollo e Innov. Curricu." sheetId="28" state="hidden" r:id="rId13"/>
    <sheet name="2. Investigación Científica" sheetId="21" state="hidden" r:id="rId14"/>
    <sheet name="3. Vinculación Univ. Sociedad" sheetId="22" state="hidden" r:id="rId15"/>
    <sheet name="4. Docencia y Profesorado Univ." sheetId="29" state="hidden" r:id="rId16"/>
    <sheet name="5. Estudiantes y Graduados" sheetId="30" state="hidden" r:id="rId17"/>
    <sheet name="6. Gestión del Conocimiento" sheetId="23" state="hidden" r:id="rId18"/>
    <sheet name="7. Lo Esencial de la Reforma U." sheetId="45" r:id="rId19"/>
    <sheet name="8. Cultura de Inno. Insti..." sheetId="47" state="hidden" r:id="rId20"/>
    <sheet name="9. Asegura. de la Calid. y M" sheetId="33" state="hidden" r:id="rId21"/>
    <sheet name="10. Posgrado" sheetId="48" state="hidden" r:id="rId22"/>
    <sheet name="11. Gestion Administrativa" sheetId="24" state="hidden" r:id="rId23"/>
    <sheet name="12. Gestión del Talento Humano" sheetId="44" state="hidden" r:id="rId24"/>
    <sheet name="13. Gestión Académica" sheetId="31" state="hidden" r:id="rId25"/>
    <sheet name="14. Internacional... de la E.S." sheetId="46" state="hidden" r:id="rId26"/>
    <sheet name="15. Gobernabilidad y Proceso..." sheetId="34" r:id="rId27"/>
    <sheet name="16. Desa. del Sistema Educ.Sup." sheetId="49" state="hidden" r:id="rId28"/>
    <sheet name="17. Gestión TIC" sheetId="50" r:id="rId29"/>
    <sheet name="Hoja1" sheetId="51" state="hidden" r:id="rId30"/>
  </sheets>
  <externalReferences>
    <externalReference r:id="rId31"/>
  </externalReferences>
  <definedNames>
    <definedName name="_xlnm._FilterDatabase" localSheetId="4" hidden="1">'1. TALLERES SEMINARIOS'!$C$11:$C$244</definedName>
    <definedName name="_xlnm._FilterDatabase" localSheetId="26" hidden="1">'15. Gobernabilidad y Proceso...'!$A$10:$G$30</definedName>
    <definedName name="_xlnm._FilterDatabase" localSheetId="3" hidden="1">'2. CONTRATACION DE PERSONAL'!$C$12:$C$967</definedName>
    <definedName name="_xlnm._FilterDatabase" localSheetId="6" hidden="1">'3. EQUIPO DE OFICINA'!$C$12:$C$237</definedName>
    <definedName name="_xlnm._FilterDatabase" localSheetId="5" hidden="1">'4. EQUIPO TECNOLÓGICOS'!$J$11:$J$288</definedName>
    <definedName name="_xlnm._FilterDatabase" localSheetId="7" hidden="1">'5. ACTIVIDADES ESPECIALES'!$J$13:$J$743</definedName>
    <definedName name="_xlnm._FilterDatabase" localSheetId="8" hidden="1">'6. Becas'!$J$13:$J$131</definedName>
    <definedName name="_xlnm._FilterDatabase" localSheetId="9" hidden="1">'7. Infraestructura'!$J$12:$J$187</definedName>
    <definedName name="_xlnm._FilterDatabase" localSheetId="11"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2">'1. Desarrollo e Innov. Curricu.'!$5:$7</definedName>
    <definedName name="_xlnm.Print_Titles" localSheetId="13">'2. Investigación Científica'!#REF!</definedName>
    <definedName name="_xlnm.Print_Titles" localSheetId="14">'3. Vinculación Univ. Sociedad'!#REF!</definedName>
    <definedName name="_xlnm.Print_Titles" localSheetId="0">'CME VACIO'!$1:$9</definedName>
  </definedNames>
  <calcPr calcId="152511"/>
</workbook>
</file>

<file path=xl/calcChain.xml><?xml version="1.0" encoding="utf-8"?>
<calcChain xmlns="http://schemas.openxmlformats.org/spreadsheetml/2006/main">
  <c r="O15" i="34" l="1"/>
  <c r="M15" i="34"/>
  <c r="K15" i="34"/>
  <c r="I15" i="34"/>
  <c r="O14" i="34"/>
  <c r="M14" i="34"/>
  <c r="K14" i="34"/>
  <c r="I14" i="34"/>
  <c r="K8" i="45" l="1"/>
  <c r="M8" i="45"/>
  <c r="Q7" i="45"/>
  <c r="F18" i="9" l="1"/>
  <c r="F19" i="9"/>
  <c r="F20" i="9"/>
  <c r="F21" i="9"/>
  <c r="F22" i="9"/>
  <c r="F23" i="9"/>
  <c r="D57" i="12"/>
  <c r="D58" i="12"/>
  <c r="F37" i="9"/>
  <c r="F38" i="9"/>
  <c r="F39" i="9"/>
  <c r="F40" i="9"/>
  <c r="F41" i="9"/>
  <c r="F42" i="9"/>
  <c r="F44" i="9"/>
  <c r="F45" i="9"/>
  <c r="F46" i="9"/>
  <c r="F47" i="9"/>
  <c r="J27" i="7"/>
  <c r="J28" i="7"/>
  <c r="G24" i="7"/>
  <c r="G25" i="7"/>
  <c r="G26" i="7"/>
  <c r="G27" i="7"/>
  <c r="G23" i="7"/>
  <c r="F29" i="7"/>
  <c r="F30" i="7"/>
  <c r="G30" i="7" s="1"/>
  <c r="F31" i="7"/>
  <c r="G31" i="7" s="1"/>
  <c r="F32" i="7"/>
  <c r="G32" i="7" s="1"/>
  <c r="F33" i="7"/>
  <c r="G33" i="7" s="1"/>
  <c r="F34" i="7"/>
  <c r="F35" i="7"/>
  <c r="I40" i="12"/>
  <c r="F40" i="12"/>
  <c r="F43" i="12"/>
  <c r="F404" i="12" l="1"/>
  <c r="F405" i="12"/>
  <c r="F406" i="12"/>
  <c r="F138" i="12"/>
  <c r="F139" i="12"/>
  <c r="F140" i="12"/>
  <c r="F141" i="12"/>
  <c r="F142" i="12"/>
  <c r="F143" i="12"/>
  <c r="F144" i="12"/>
  <c r="F145" i="12"/>
  <c r="F146" i="12"/>
  <c r="F18" i="10"/>
  <c r="F19" i="10"/>
  <c r="F20" i="10"/>
  <c r="F21" i="10"/>
  <c r="F22" i="10"/>
  <c r="F24" i="10"/>
  <c r="F25" i="10"/>
  <c r="F26" i="10"/>
  <c r="F33" i="10"/>
  <c r="F34" i="10"/>
  <c r="F35" i="10"/>
  <c r="G126" i="8"/>
  <c r="G187" i="8"/>
  <c r="I578" i="12" l="1"/>
  <c r="D573" i="12"/>
  <c r="D31" i="10" l="1"/>
  <c r="F31" i="10" s="1"/>
  <c r="J39" i="9"/>
  <c r="J40" i="9"/>
  <c r="J41" i="9"/>
  <c r="J42" i="9"/>
  <c r="J43" i="9"/>
  <c r="I40" i="9"/>
  <c r="D36" i="9"/>
  <c r="F36" i="9" s="1"/>
  <c r="D43" i="9"/>
  <c r="F43" i="9" s="1"/>
  <c r="D29" i="10"/>
  <c r="F29" i="10" s="1"/>
  <c r="D30" i="10"/>
  <c r="F30" i="10" s="1"/>
  <c r="D32" i="10"/>
  <c r="F32" i="10" s="1"/>
  <c r="D23" i="10"/>
  <c r="F23" i="10" s="1"/>
  <c r="F185" i="12"/>
  <c r="J29" i="7"/>
  <c r="J30" i="7"/>
  <c r="J31" i="7"/>
  <c r="J32" i="7"/>
  <c r="J33" i="7"/>
  <c r="J34" i="7"/>
  <c r="J35" i="7"/>
  <c r="D133" i="8"/>
  <c r="D32" i="9"/>
  <c r="D73" i="8"/>
  <c r="G66" i="8"/>
  <c r="D13" i="8"/>
  <c r="F137" i="8"/>
  <c r="G137" i="8"/>
  <c r="J137" i="8"/>
  <c r="F138" i="8"/>
  <c r="G138" i="8" s="1"/>
  <c r="J138" i="8"/>
  <c r="K138" i="8"/>
  <c r="F139" i="8"/>
  <c r="G139" i="8" s="1"/>
  <c r="J139" i="8"/>
  <c r="K139" i="8"/>
  <c r="F140" i="8"/>
  <c r="G140" i="8" s="1"/>
  <c r="J140" i="8"/>
  <c r="K140" i="8"/>
  <c r="J141" i="8"/>
  <c r="K141" i="8"/>
  <c r="J142" i="8"/>
  <c r="K142" i="8"/>
  <c r="F143" i="8"/>
  <c r="G143" i="8" s="1"/>
  <c r="J143" i="8"/>
  <c r="K143" i="8"/>
  <c r="J144" i="8"/>
  <c r="K144" i="8"/>
  <c r="J145" i="8"/>
  <c r="K145" i="8"/>
  <c r="F146" i="8"/>
  <c r="G146" i="8" s="1"/>
  <c r="J146" i="8"/>
  <c r="K146" i="8"/>
  <c r="J147" i="8"/>
  <c r="K147" i="8"/>
  <c r="J148" i="8"/>
  <c r="K148" i="8"/>
  <c r="F149" i="8"/>
  <c r="G149" i="8" s="1"/>
  <c r="J149" i="8"/>
  <c r="K149" i="8"/>
  <c r="J150" i="8"/>
  <c r="K150" i="8"/>
  <c r="J151" i="8"/>
  <c r="K151" i="8"/>
  <c r="F152" i="8"/>
  <c r="G152" i="8" s="1"/>
  <c r="J152" i="8"/>
  <c r="K152" i="8"/>
  <c r="J153" i="8"/>
  <c r="K153" i="8"/>
  <c r="J154" i="8"/>
  <c r="K154" i="8"/>
  <c r="F155" i="8"/>
  <c r="G155" i="8" s="1"/>
  <c r="J155" i="8"/>
  <c r="K155" i="8"/>
  <c r="J156" i="8"/>
  <c r="K156" i="8"/>
  <c r="J157" i="8"/>
  <c r="K157" i="8"/>
  <c r="F158" i="8"/>
  <c r="G158" i="8" s="1"/>
  <c r="J158" i="8"/>
  <c r="K158" i="8"/>
  <c r="J159" i="8"/>
  <c r="K159" i="8"/>
  <c r="J160" i="8"/>
  <c r="K160" i="8"/>
  <c r="F161" i="8"/>
  <c r="G161" i="8" s="1"/>
  <c r="J161" i="8"/>
  <c r="K161" i="8"/>
  <c r="J162" i="8"/>
  <c r="K162" i="8"/>
  <c r="J163" i="8"/>
  <c r="K163" i="8"/>
  <c r="F164" i="8"/>
  <c r="G164" i="8" s="1"/>
  <c r="J164" i="8"/>
  <c r="K164" i="8"/>
  <c r="J165" i="8"/>
  <c r="K165" i="8"/>
  <c r="J166" i="8"/>
  <c r="K166" i="8"/>
  <c r="F167" i="8"/>
  <c r="G167" i="8" s="1"/>
  <c r="J167" i="8"/>
  <c r="K167" i="8"/>
  <c r="J168" i="8"/>
  <c r="K168" i="8"/>
  <c r="J169" i="8"/>
  <c r="K169" i="8"/>
  <c r="F170" i="8"/>
  <c r="G170" i="8" s="1"/>
  <c r="J170" i="8"/>
  <c r="K170" i="8"/>
  <c r="J171" i="8"/>
  <c r="K171" i="8"/>
  <c r="J172" i="8"/>
  <c r="K172" i="8"/>
  <c r="F173" i="8"/>
  <c r="G173" i="8" s="1"/>
  <c r="J173" i="8"/>
  <c r="K173" i="8"/>
  <c r="J174" i="8"/>
  <c r="K174" i="8"/>
  <c r="J175" i="8"/>
  <c r="K175" i="8"/>
  <c r="F176" i="8"/>
  <c r="G176" i="8" s="1"/>
  <c r="F177" i="8" s="1"/>
  <c r="G177" i="8" s="1"/>
  <c r="J176" i="8"/>
  <c r="K176" i="8"/>
  <c r="J177" i="8"/>
  <c r="K177" i="8"/>
  <c r="F178" i="8"/>
  <c r="G178" i="8" s="1"/>
  <c r="J178" i="8"/>
  <c r="K178" i="8"/>
  <c r="G179" i="8"/>
  <c r="J179" i="8"/>
  <c r="K179" i="8"/>
  <c r="J180" i="8"/>
  <c r="K180" i="8"/>
  <c r="J181" i="8"/>
  <c r="K181" i="8"/>
  <c r="G182" i="8"/>
  <c r="J182" i="8"/>
  <c r="K182" i="8"/>
  <c r="G183" i="8"/>
  <c r="J183" i="8"/>
  <c r="K183" i="8"/>
  <c r="G184" i="8"/>
  <c r="J184" i="8"/>
  <c r="K184" i="8"/>
  <c r="F17" i="8"/>
  <c r="G17" i="8" s="1"/>
  <c r="J17" i="8"/>
  <c r="J18" i="8"/>
  <c r="K18" i="8"/>
  <c r="J19" i="8"/>
  <c r="K19" i="8"/>
  <c r="F20" i="8"/>
  <c r="G20" i="8" s="1"/>
  <c r="J20" i="8"/>
  <c r="K20" i="8"/>
  <c r="J21" i="8"/>
  <c r="K21" i="8"/>
  <c r="J22" i="8"/>
  <c r="K22" i="8"/>
  <c r="F23" i="8"/>
  <c r="G23" i="8" s="1"/>
  <c r="F24" i="8" s="1"/>
  <c r="G24" i="8" s="1"/>
  <c r="J23" i="8"/>
  <c r="K23" i="8"/>
  <c r="J24" i="8"/>
  <c r="K24" i="8"/>
  <c r="F25" i="8"/>
  <c r="G25" i="8" s="1"/>
  <c r="J25" i="8"/>
  <c r="K25" i="8"/>
  <c r="F26" i="8"/>
  <c r="G26" i="8" s="1"/>
  <c r="F27" i="8" s="1"/>
  <c r="G27" i="8" s="1"/>
  <c r="J26" i="8"/>
  <c r="K26" i="8"/>
  <c r="J27" i="8"/>
  <c r="K27" i="8"/>
  <c r="F28" i="8"/>
  <c r="G28" i="8" s="1"/>
  <c r="J28" i="8"/>
  <c r="K28" i="8"/>
  <c r="F29" i="8"/>
  <c r="G29" i="8" s="1"/>
  <c r="J29" i="8"/>
  <c r="K29" i="8"/>
  <c r="F30" i="8"/>
  <c r="G30" i="8" s="1"/>
  <c r="J30" i="8"/>
  <c r="K30" i="8"/>
  <c r="F31" i="8"/>
  <c r="G31" i="8" s="1"/>
  <c r="J31" i="8"/>
  <c r="K31" i="8"/>
  <c r="F32" i="8"/>
  <c r="G32" i="8" s="1"/>
  <c r="J32" i="8"/>
  <c r="K32" i="8"/>
  <c r="J33" i="8"/>
  <c r="K33" i="8"/>
  <c r="J34" i="8"/>
  <c r="K34" i="8"/>
  <c r="F35" i="8"/>
  <c r="G35" i="8" s="1"/>
  <c r="F36" i="8" s="1"/>
  <c r="G36" i="8" s="1"/>
  <c r="J35" i="8"/>
  <c r="K35" i="8"/>
  <c r="J36" i="8"/>
  <c r="K36" i="8"/>
  <c r="F37" i="8"/>
  <c r="G37" i="8" s="1"/>
  <c r="J37" i="8"/>
  <c r="K37" i="8"/>
  <c r="F38" i="8"/>
  <c r="G38" i="8" s="1"/>
  <c r="F39" i="8" s="1"/>
  <c r="G39" i="8" s="1"/>
  <c r="J38" i="8"/>
  <c r="K38" i="8"/>
  <c r="J39" i="8"/>
  <c r="K39" i="8"/>
  <c r="F40" i="8"/>
  <c r="G40" i="8" s="1"/>
  <c r="J40" i="8"/>
  <c r="K40" i="8"/>
  <c r="F41" i="8"/>
  <c r="G41" i="8" s="1"/>
  <c r="J41" i="8"/>
  <c r="K41" i="8"/>
  <c r="F42" i="8"/>
  <c r="G42" i="8" s="1"/>
  <c r="J42" i="8"/>
  <c r="K42" i="8"/>
  <c r="F43" i="8"/>
  <c r="G43" i="8" s="1"/>
  <c r="J43" i="8"/>
  <c r="K43" i="8"/>
  <c r="F44" i="8"/>
  <c r="G44" i="8" s="1"/>
  <c r="J44" i="8"/>
  <c r="K44" i="8"/>
  <c r="J45" i="8"/>
  <c r="K45" i="8"/>
  <c r="J46" i="8"/>
  <c r="K46" i="8"/>
  <c r="F47" i="8"/>
  <c r="G47" i="8" s="1"/>
  <c r="F48" i="8" s="1"/>
  <c r="G48" i="8" s="1"/>
  <c r="J47" i="8"/>
  <c r="K47" i="8"/>
  <c r="J48" i="8"/>
  <c r="K48" i="8"/>
  <c r="F49" i="8"/>
  <c r="G49" i="8" s="1"/>
  <c r="J49" i="8"/>
  <c r="K49" i="8"/>
  <c r="F50" i="8"/>
  <c r="G50" i="8" s="1"/>
  <c r="F51" i="8" s="1"/>
  <c r="G51" i="8" s="1"/>
  <c r="J50" i="8"/>
  <c r="K50" i="8"/>
  <c r="J51" i="8"/>
  <c r="K51" i="8"/>
  <c r="F52" i="8"/>
  <c r="G52" i="8" s="1"/>
  <c r="J52" i="8"/>
  <c r="K52" i="8"/>
  <c r="F53" i="8"/>
  <c r="G53" i="8" s="1"/>
  <c r="J53" i="8"/>
  <c r="K53" i="8"/>
  <c r="F54" i="8"/>
  <c r="G54" i="8" s="1"/>
  <c r="J54" i="8"/>
  <c r="K54" i="8"/>
  <c r="F55" i="8"/>
  <c r="G55" i="8" s="1"/>
  <c r="J55" i="8"/>
  <c r="K55" i="8"/>
  <c r="F56" i="8"/>
  <c r="G56" i="8" s="1"/>
  <c r="J56" i="8"/>
  <c r="K56" i="8"/>
  <c r="J57" i="8"/>
  <c r="K57" i="8"/>
  <c r="J58" i="8"/>
  <c r="K58" i="8"/>
  <c r="G59" i="8"/>
  <c r="J59" i="8"/>
  <c r="K59" i="8"/>
  <c r="J60" i="8"/>
  <c r="K60" i="8"/>
  <c r="J61" i="8"/>
  <c r="K61" i="8"/>
  <c r="G62" i="8"/>
  <c r="J62" i="8"/>
  <c r="K62" i="8"/>
  <c r="G63" i="8"/>
  <c r="J63" i="8"/>
  <c r="K63" i="8"/>
  <c r="G64" i="8"/>
  <c r="J64" i="8"/>
  <c r="K64" i="8"/>
  <c r="G65" i="8"/>
  <c r="J65" i="8"/>
  <c r="J66" i="8"/>
  <c r="J67" i="8"/>
  <c r="C74" i="8"/>
  <c r="F77" i="8"/>
  <c r="G77" i="8" s="1"/>
  <c r="J77" i="8"/>
  <c r="J78" i="8"/>
  <c r="K78" i="8"/>
  <c r="J79" i="8"/>
  <c r="K79" i="8"/>
  <c r="F80" i="8"/>
  <c r="G80" i="8" s="1"/>
  <c r="J80" i="8"/>
  <c r="K80" i="8"/>
  <c r="J81" i="8"/>
  <c r="K81" i="8"/>
  <c r="J82" i="8"/>
  <c r="K82" i="8"/>
  <c r="F83" i="8"/>
  <c r="G83" i="8" s="1"/>
  <c r="F84" i="8" s="1"/>
  <c r="G84" i="8" s="1"/>
  <c r="J83" i="8"/>
  <c r="K83" i="8"/>
  <c r="J84" i="8"/>
  <c r="K84" i="8"/>
  <c r="J85" i="8"/>
  <c r="K85" i="8"/>
  <c r="F86" i="8"/>
  <c r="G86" i="8" s="1"/>
  <c r="F87" i="8" s="1"/>
  <c r="G87" i="8" s="1"/>
  <c r="J86" i="8"/>
  <c r="K86" i="8"/>
  <c r="J87" i="8"/>
  <c r="K87" i="8"/>
  <c r="F88" i="8"/>
  <c r="G88" i="8" s="1"/>
  <c r="J88" i="8"/>
  <c r="K88" i="8"/>
  <c r="F89" i="8"/>
  <c r="G89" i="8" s="1"/>
  <c r="J89" i="8"/>
  <c r="K89" i="8"/>
  <c r="F90" i="8"/>
  <c r="G90" i="8" s="1"/>
  <c r="J90" i="8"/>
  <c r="K90" i="8"/>
  <c r="F91" i="8"/>
  <c r="G91" i="8" s="1"/>
  <c r="J91" i="8"/>
  <c r="K91" i="8"/>
  <c r="F92" i="8"/>
  <c r="G92" i="8" s="1"/>
  <c r="J92" i="8"/>
  <c r="K92" i="8"/>
  <c r="J93" i="8"/>
  <c r="K93" i="8"/>
  <c r="J94" i="8"/>
  <c r="K94" i="8"/>
  <c r="F95" i="8"/>
  <c r="G95" i="8" s="1"/>
  <c r="F96" i="8" s="1"/>
  <c r="G96" i="8" s="1"/>
  <c r="J95" i="8"/>
  <c r="K95" i="8"/>
  <c r="J96" i="8"/>
  <c r="K96" i="8"/>
  <c r="J97" i="8"/>
  <c r="K97" i="8"/>
  <c r="F98" i="8"/>
  <c r="G98" i="8" s="1"/>
  <c r="F99" i="8" s="1"/>
  <c r="G99" i="8" s="1"/>
  <c r="J98" i="8"/>
  <c r="K98" i="8"/>
  <c r="J99" i="8"/>
  <c r="K99" i="8"/>
  <c r="J100" i="8"/>
  <c r="K100" i="8"/>
  <c r="F101" i="8"/>
  <c r="G101" i="8" s="1"/>
  <c r="F102" i="8" s="1"/>
  <c r="G102" i="8" s="1"/>
  <c r="J101" i="8"/>
  <c r="K101" i="8"/>
  <c r="J102" i="8"/>
  <c r="K102" i="8"/>
  <c r="F103" i="8"/>
  <c r="G103" i="8" s="1"/>
  <c r="J103" i="8"/>
  <c r="K103" i="8"/>
  <c r="F104" i="8"/>
  <c r="G104" i="8" s="1"/>
  <c r="J104" i="8"/>
  <c r="K104" i="8"/>
  <c r="J105" i="8"/>
  <c r="K105" i="8"/>
  <c r="J106" i="8"/>
  <c r="K106" i="8"/>
  <c r="F107" i="8"/>
  <c r="G107" i="8" s="1"/>
  <c r="F108" i="8" s="1"/>
  <c r="G108" i="8" s="1"/>
  <c r="J107" i="8"/>
  <c r="K107" i="8"/>
  <c r="J108" i="8"/>
  <c r="K108" i="8"/>
  <c r="J109" i="8"/>
  <c r="K109" i="8"/>
  <c r="F110" i="8"/>
  <c r="G110" i="8" s="1"/>
  <c r="F111" i="8" s="1"/>
  <c r="G111" i="8" s="1"/>
  <c r="J110" i="8"/>
  <c r="K110" i="8"/>
  <c r="J111" i="8"/>
  <c r="K111" i="8"/>
  <c r="J112" i="8"/>
  <c r="K112" i="8"/>
  <c r="F113" i="8"/>
  <c r="G113" i="8" s="1"/>
  <c r="F114" i="8" s="1"/>
  <c r="G114" i="8" s="1"/>
  <c r="J113" i="8"/>
  <c r="K113" i="8"/>
  <c r="J114" i="8"/>
  <c r="K114" i="8"/>
  <c r="F115" i="8"/>
  <c r="G115" i="8" s="1"/>
  <c r="J115" i="8"/>
  <c r="K115" i="8"/>
  <c r="F116" i="8"/>
  <c r="G116" i="8" s="1"/>
  <c r="F117" i="8" s="1"/>
  <c r="G117" i="8" s="1"/>
  <c r="J116" i="8"/>
  <c r="K116" i="8"/>
  <c r="J117" i="8"/>
  <c r="K117" i="8"/>
  <c r="J118" i="8"/>
  <c r="K118" i="8"/>
  <c r="G119" i="8"/>
  <c r="F120" i="8" s="1"/>
  <c r="G120" i="8" s="1"/>
  <c r="J119" i="8"/>
  <c r="K119" i="8"/>
  <c r="J120" i="8"/>
  <c r="K120" i="8"/>
  <c r="F121" i="8"/>
  <c r="G121" i="8" s="1"/>
  <c r="J121" i="8"/>
  <c r="K121" i="8"/>
  <c r="G122" i="8"/>
  <c r="J122" i="8"/>
  <c r="K122" i="8"/>
  <c r="G123" i="8"/>
  <c r="J123" i="8"/>
  <c r="K123" i="8"/>
  <c r="G124" i="8"/>
  <c r="J124" i="8"/>
  <c r="K124" i="8"/>
  <c r="Q27" i="34"/>
  <c r="F112" i="8" l="1"/>
  <c r="G112" i="8" s="1"/>
  <c r="F109" i="8"/>
  <c r="G109" i="8" s="1"/>
  <c r="F100" i="8"/>
  <c r="G100" i="8" s="1"/>
  <c r="F78" i="8"/>
  <c r="G78" i="8" s="1"/>
  <c r="D29" i="9"/>
  <c r="R28" i="34" s="1"/>
  <c r="L28" i="34" s="1"/>
  <c r="J28" i="34"/>
  <c r="F57" i="8"/>
  <c r="G57" i="8" s="1"/>
  <c r="F58" i="8"/>
  <c r="G58" i="8" s="1"/>
  <c r="F45" i="8"/>
  <c r="G45" i="8" s="1"/>
  <c r="F46" i="8"/>
  <c r="G46" i="8" s="1"/>
  <c r="F33" i="8"/>
  <c r="G33" i="8" s="1"/>
  <c r="F34" i="8"/>
  <c r="G34" i="8" s="1"/>
  <c r="F21" i="8"/>
  <c r="G21" i="8" s="1"/>
  <c r="F22" i="8"/>
  <c r="G22" i="8" s="1"/>
  <c r="F19" i="8"/>
  <c r="G19" i="8" s="1"/>
  <c r="F18" i="8"/>
  <c r="G18" i="8" s="1"/>
  <c r="F180" i="8"/>
  <c r="G180" i="8" s="1"/>
  <c r="F181" i="8"/>
  <c r="G181" i="8" s="1"/>
  <c r="F171" i="8"/>
  <c r="G171" i="8" s="1"/>
  <c r="F172" i="8"/>
  <c r="G172" i="8" s="1"/>
  <c r="F165" i="8"/>
  <c r="G165" i="8" s="1"/>
  <c r="F166" i="8"/>
  <c r="G166" i="8" s="1"/>
  <c r="F159" i="8"/>
  <c r="G159" i="8" s="1"/>
  <c r="F160" i="8"/>
  <c r="G160" i="8" s="1"/>
  <c r="F153" i="8"/>
  <c r="G153" i="8" s="1"/>
  <c r="F154" i="8"/>
  <c r="G154" i="8" s="1"/>
  <c r="F147" i="8"/>
  <c r="G147" i="8" s="1"/>
  <c r="F148" i="8"/>
  <c r="G148" i="8" s="1"/>
  <c r="F141" i="8"/>
  <c r="G141" i="8" s="1"/>
  <c r="F142" i="8"/>
  <c r="G142" i="8" s="1"/>
  <c r="F105" i="8"/>
  <c r="G105" i="8" s="1"/>
  <c r="F106" i="8"/>
  <c r="G106" i="8" s="1"/>
  <c r="F97" i="8"/>
  <c r="G97" i="8" s="1"/>
  <c r="F93" i="8"/>
  <c r="G93" i="8" s="1"/>
  <c r="F94" i="8"/>
  <c r="G94" i="8" s="1"/>
  <c r="F85" i="8"/>
  <c r="G85" i="8" s="1"/>
  <c r="F81" i="8"/>
  <c r="G81" i="8" s="1"/>
  <c r="F82" i="8"/>
  <c r="G82" i="8" s="1"/>
  <c r="F174" i="8"/>
  <c r="G174" i="8" s="1"/>
  <c r="F175" i="8"/>
  <c r="G175" i="8" s="1"/>
  <c r="F168" i="8"/>
  <c r="G168" i="8" s="1"/>
  <c r="F169" i="8"/>
  <c r="G169" i="8" s="1"/>
  <c r="F162" i="8"/>
  <c r="G162" i="8" s="1"/>
  <c r="F163" i="8"/>
  <c r="G163" i="8" s="1"/>
  <c r="F156" i="8"/>
  <c r="G156" i="8" s="1"/>
  <c r="F157" i="8"/>
  <c r="G157" i="8" s="1"/>
  <c r="F150" i="8"/>
  <c r="G150" i="8" s="1"/>
  <c r="F151" i="8"/>
  <c r="G151" i="8" s="1"/>
  <c r="F144" i="8"/>
  <c r="G144" i="8" s="1"/>
  <c r="F145" i="8"/>
  <c r="G145" i="8" s="1"/>
  <c r="F118" i="8"/>
  <c r="G118" i="8" s="1"/>
  <c r="F79" i="8"/>
  <c r="G79" i="8" s="1"/>
  <c r="F67" i="8"/>
  <c r="G67" i="8" s="1"/>
  <c r="F60" i="8"/>
  <c r="G60" i="8" s="1"/>
  <c r="F61" i="8"/>
  <c r="G61" i="8" s="1"/>
  <c r="D10" i="8" l="1"/>
  <c r="D534" i="12"/>
  <c r="D535" i="12"/>
  <c r="I535" i="12"/>
  <c r="E535" i="12"/>
  <c r="F535" i="12" s="1"/>
  <c r="I534" i="12"/>
  <c r="E534" i="12"/>
  <c r="D529" i="12"/>
  <c r="D485" i="12"/>
  <c r="D446" i="12"/>
  <c r="I446" i="12"/>
  <c r="E446" i="12"/>
  <c r="F446" i="12" s="1"/>
  <c r="D441" i="12"/>
  <c r="I406" i="12"/>
  <c r="I407" i="12"/>
  <c r="D397" i="12"/>
  <c r="D359" i="12"/>
  <c r="I359" i="12"/>
  <c r="E359" i="12"/>
  <c r="F359" i="12" s="1"/>
  <c r="D353" i="12"/>
  <c r="D315" i="12"/>
  <c r="D314" i="12"/>
  <c r="I315" i="12"/>
  <c r="E315" i="12"/>
  <c r="F315" i="12" s="1"/>
  <c r="I314" i="12"/>
  <c r="E314" i="12"/>
  <c r="F314" i="12" s="1"/>
  <c r="D309" i="12"/>
  <c r="I272" i="12"/>
  <c r="F272" i="12"/>
  <c r="D265" i="12"/>
  <c r="D221" i="12"/>
  <c r="D181" i="12"/>
  <c r="D182" i="12"/>
  <c r="D183" i="12"/>
  <c r="F183" i="12" s="1"/>
  <c r="D184" i="12"/>
  <c r="F184" i="12" s="1"/>
  <c r="I182" i="12"/>
  <c r="E182" i="12"/>
  <c r="F182" i="12" s="1"/>
  <c r="I181" i="12"/>
  <c r="E181" i="12"/>
  <c r="F181" i="12"/>
  <c r="D176" i="12"/>
  <c r="D13" i="9"/>
  <c r="D17" i="10"/>
  <c r="I60" i="12"/>
  <c r="I61" i="12"/>
  <c r="I62" i="12"/>
  <c r="F44" i="12"/>
  <c r="F19" i="12"/>
  <c r="F20" i="12"/>
  <c r="F21" i="12"/>
  <c r="F17" i="10"/>
  <c r="D132" i="12"/>
  <c r="F534" i="12" l="1"/>
  <c r="Q10" i="34" l="1"/>
  <c r="D116" i="12"/>
  <c r="R14" i="45"/>
  <c r="I98" i="12"/>
  <c r="F98" i="12"/>
  <c r="I99" i="12"/>
  <c r="F99" i="12"/>
  <c r="I102" i="12"/>
  <c r="D90" i="12"/>
  <c r="I104" i="12"/>
  <c r="I103" i="12"/>
  <c r="J23" i="7" l="1"/>
  <c r="J24" i="7"/>
  <c r="J26" i="7"/>
  <c r="E35" i="7"/>
  <c r="G35" i="7" s="1"/>
  <c r="E34" i="7"/>
  <c r="G34" i="7" s="1"/>
  <c r="E29" i="7"/>
  <c r="G29" i="7" s="1"/>
  <c r="E28" i="7"/>
  <c r="F28" i="7"/>
  <c r="D38" i="12"/>
  <c r="G20" i="7"/>
  <c r="G21" i="7"/>
  <c r="D13" i="7"/>
  <c r="D41" i="12"/>
  <c r="D34" i="12"/>
  <c r="D36" i="12"/>
  <c r="D74" i="12"/>
  <c r="I78" i="12"/>
  <c r="I79" i="12"/>
  <c r="F78" i="12"/>
  <c r="D76" i="12"/>
  <c r="I76" i="12"/>
  <c r="E76" i="12"/>
  <c r="F76" i="12" s="1"/>
  <c r="D70" i="12"/>
  <c r="F62" i="12"/>
  <c r="Q11" i="45"/>
  <c r="D54" i="12"/>
  <c r="D56" i="12"/>
  <c r="D59" i="12"/>
  <c r="F61" i="12"/>
  <c r="D50" i="12"/>
  <c r="G28" i="7" l="1"/>
  <c r="D42" i="12"/>
  <c r="I42" i="12"/>
  <c r="E42" i="12"/>
  <c r="F42" i="12" s="1"/>
  <c r="I41" i="12"/>
  <c r="E41" i="12"/>
  <c r="F41" i="12" s="1"/>
  <c r="I59" i="12"/>
  <c r="E59" i="12"/>
  <c r="F59" i="12" s="1"/>
  <c r="I58" i="12"/>
  <c r="E58" i="12"/>
  <c r="F58" i="12" s="1"/>
  <c r="I57" i="12"/>
  <c r="E57" i="12"/>
  <c r="F57" i="12" s="1"/>
  <c r="I56" i="12"/>
  <c r="E56" i="12"/>
  <c r="F56" i="12" s="1"/>
  <c r="I55" i="12"/>
  <c r="E55" i="12"/>
  <c r="F55" i="12" s="1"/>
  <c r="I54" i="12"/>
  <c r="E54" i="12"/>
  <c r="F54" i="12" s="1"/>
  <c r="I43" i="12"/>
  <c r="I44" i="12"/>
  <c r="E35" i="12"/>
  <c r="F35" i="12" s="1"/>
  <c r="E36" i="12"/>
  <c r="F36" i="12" s="1"/>
  <c r="E37" i="12"/>
  <c r="E38" i="12"/>
  <c r="F38" i="12" s="1"/>
  <c r="E39" i="12"/>
  <c r="D39" i="12"/>
  <c r="I39" i="12"/>
  <c r="D37" i="12"/>
  <c r="I38" i="12"/>
  <c r="I37" i="12"/>
  <c r="I36" i="12"/>
  <c r="I35" i="12"/>
  <c r="D30" i="12"/>
  <c r="Q9" i="45"/>
  <c r="R9" i="45"/>
  <c r="Q12" i="45"/>
  <c r="Q13" i="45"/>
  <c r="Q14" i="45"/>
  <c r="F39" i="12" l="1"/>
  <c r="F37" i="12"/>
  <c r="D28" i="10"/>
  <c r="F28" i="10" s="1"/>
  <c r="D27" i="10"/>
  <c r="F27" i="10" s="1"/>
  <c r="J33" i="10"/>
  <c r="I33" i="10"/>
  <c r="J32" i="10"/>
  <c r="I32" i="10"/>
  <c r="D10" i="10" l="1"/>
  <c r="I27" i="10"/>
  <c r="I28" i="10"/>
  <c r="J27" i="10"/>
  <c r="J28" i="10"/>
  <c r="I29" i="10"/>
  <c r="J22" i="10"/>
  <c r="I22" i="10"/>
  <c r="D13" i="10"/>
  <c r="D13" i="12"/>
  <c r="I18" i="12" l="1"/>
  <c r="E18" i="12"/>
  <c r="F18" i="12" s="1"/>
  <c r="D27" i="38" l="1"/>
  <c r="P11" i="46" l="1"/>
  <c r="Q11" i="46"/>
  <c r="P12" i="46"/>
  <c r="Q12" i="46"/>
  <c r="P13" i="46"/>
  <c r="Q13" i="46"/>
  <c r="P14" i="46"/>
  <c r="Q14" i="46"/>
  <c r="P15" i="46"/>
  <c r="Q15" i="46"/>
  <c r="P16" i="46"/>
  <c r="Q16" i="46"/>
  <c r="P17" i="46"/>
  <c r="Q17" i="46"/>
  <c r="P18" i="46"/>
  <c r="Q18" i="46"/>
  <c r="P19" i="46"/>
  <c r="Q19" i="46"/>
  <c r="P20" i="46"/>
  <c r="Q20" i="46"/>
  <c r="P21" i="46"/>
  <c r="Q21" i="46"/>
  <c r="P22" i="46"/>
  <c r="Q22" i="46"/>
  <c r="P23" i="46"/>
  <c r="Q23" i="46"/>
  <c r="P24" i="46"/>
  <c r="Q24" i="46"/>
  <c r="P25" i="46"/>
  <c r="Q25" i="46"/>
  <c r="P26" i="46"/>
  <c r="Q26" i="46"/>
  <c r="P27" i="46"/>
  <c r="Q27" i="46"/>
  <c r="P28" i="46"/>
  <c r="Q28" i="46"/>
  <c r="P29" i="46"/>
  <c r="Q29" i="46"/>
  <c r="P30" i="46"/>
  <c r="Q30" i="46"/>
  <c r="P31" i="46"/>
  <c r="Q31" i="46"/>
  <c r="P32" i="46"/>
  <c r="Q32" i="46"/>
  <c r="P9" i="46"/>
  <c r="Q9" i="46"/>
  <c r="P10" i="46"/>
  <c r="Q10" i="46"/>
  <c r="C143" i="43" l="1"/>
  <c r="C100" i="43"/>
  <c r="C57" i="43"/>
  <c r="C14" i="43"/>
  <c r="C163" i="42"/>
  <c r="C133" i="42"/>
  <c r="C103" i="42"/>
  <c r="C73" i="42"/>
  <c r="C43" i="42"/>
  <c r="C107" i="40"/>
  <c r="C76" i="40"/>
  <c r="C45" i="40"/>
  <c r="C13" i="42"/>
  <c r="C14" i="40"/>
  <c r="C706" i="12"/>
  <c r="C662" i="12"/>
  <c r="C618" i="12"/>
  <c r="C574" i="12"/>
  <c r="C530" i="12"/>
  <c r="C486" i="12"/>
  <c r="C442" i="12"/>
  <c r="C398" i="12"/>
  <c r="C354" i="12"/>
  <c r="C310" i="12"/>
  <c r="C266" i="12"/>
  <c r="C222" i="12"/>
  <c r="C177" i="12"/>
  <c r="C133" i="12"/>
  <c r="C117" i="12"/>
  <c r="C91" i="12"/>
  <c r="C71" i="12"/>
  <c r="C51" i="12"/>
  <c r="C31" i="12"/>
  <c r="C14" i="12"/>
  <c r="C272" i="10"/>
  <c r="C249" i="10"/>
  <c r="C226" i="10"/>
  <c r="C203" i="10"/>
  <c r="C180" i="10"/>
  <c r="C157" i="10"/>
  <c r="C134" i="10"/>
  <c r="C111" i="10"/>
  <c r="C88" i="10"/>
  <c r="C65" i="10"/>
  <c r="C14" i="10"/>
  <c r="C225" i="9"/>
  <c r="C206" i="9"/>
  <c r="C187" i="9"/>
  <c r="C168" i="9"/>
  <c r="C149" i="9"/>
  <c r="C130" i="9"/>
  <c r="C111" i="9"/>
  <c r="C92" i="9"/>
  <c r="C73" i="9"/>
  <c r="C54" i="9"/>
  <c r="C33" i="9"/>
  <c r="C14" i="9"/>
  <c r="C914" i="8"/>
  <c r="C854" i="8"/>
  <c r="C794" i="8"/>
  <c r="C734" i="8"/>
  <c r="C674" i="8"/>
  <c r="C614" i="8"/>
  <c r="C554" i="8"/>
  <c r="C494" i="8"/>
  <c r="C434" i="8"/>
  <c r="C374" i="8"/>
  <c r="C314" i="8"/>
  <c r="C254" i="8"/>
  <c r="C194" i="8"/>
  <c r="C134" i="8"/>
  <c r="C14" i="8"/>
  <c r="C232" i="7"/>
  <c r="C213" i="7"/>
  <c r="C194" i="7"/>
  <c r="C175" i="7"/>
  <c r="C156" i="7"/>
  <c r="C137" i="7"/>
  <c r="C118" i="7"/>
  <c r="C99" i="7"/>
  <c r="C80" i="7"/>
  <c r="C61" i="7"/>
  <c r="C42" i="7"/>
  <c r="C14" i="7"/>
  <c r="Q13" i="50"/>
  <c r="Q14" i="50"/>
  <c r="Q15" i="50"/>
  <c r="Q16" i="50"/>
  <c r="Q17" i="50"/>
  <c r="Q18" i="50"/>
  <c r="Q19" i="50"/>
  <c r="Q20" i="50"/>
  <c r="Q21" i="50"/>
  <c r="Q22" i="50"/>
  <c r="Q23" i="50"/>
  <c r="Q24" i="50"/>
  <c r="Q25" i="50"/>
  <c r="Q26" i="50"/>
  <c r="Q12" i="50"/>
  <c r="F207" i="27" l="1"/>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E102" i="12" s="1"/>
  <c r="F102" i="12" s="1"/>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E103" i="12" s="1"/>
  <c r="F103" i="12" s="1"/>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Q13" i="47"/>
  <c r="P13" i="47"/>
  <c r="Q14" i="44"/>
  <c r="P14" i="44"/>
  <c r="Q13" i="44"/>
  <c r="P13" i="44"/>
  <c r="P10" i="44"/>
  <c r="Q10" i="44"/>
  <c r="P11" i="44"/>
  <c r="Q11" i="44"/>
  <c r="P12" i="44"/>
  <c r="Q12" i="44"/>
  <c r="P15" i="44"/>
  <c r="Q15" i="44"/>
  <c r="P13" i="49"/>
  <c r="Q13" i="49"/>
  <c r="P14" i="49"/>
  <c r="Q14" i="49"/>
  <c r="P15" i="49"/>
  <c r="Q15" i="49"/>
  <c r="P16" i="49"/>
  <c r="Q16" i="49"/>
  <c r="P17" i="49"/>
  <c r="Q17" i="49"/>
  <c r="P18" i="49"/>
  <c r="Q18" i="49"/>
  <c r="P23" i="49"/>
  <c r="Q23" i="49"/>
  <c r="P24" i="49"/>
  <c r="Q24" i="49"/>
  <c r="P25" i="49"/>
  <c r="Q25" i="49"/>
  <c r="E104" i="12" l="1"/>
  <c r="F104" i="12" s="1"/>
  <c r="E578" i="12"/>
  <c r="F578" i="12" s="1"/>
  <c r="J179" i="43"/>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42" i="10"/>
  <c r="O70" i="49"/>
  <c r="N70" i="49"/>
  <c r="M70" i="49"/>
  <c r="L70" i="49"/>
  <c r="K70" i="49"/>
  <c r="J70" i="49"/>
  <c r="I70" i="49"/>
  <c r="H70" i="49"/>
  <c r="Q69" i="49"/>
  <c r="P69" i="49"/>
  <c r="Q68" i="49"/>
  <c r="P68" i="49"/>
  <c r="Q63" i="49"/>
  <c r="P63" i="49"/>
  <c r="Q62" i="49"/>
  <c r="P62" i="49"/>
  <c r="Q50" i="49"/>
  <c r="P50" i="49"/>
  <c r="Q49" i="49"/>
  <c r="P49" i="49"/>
  <c r="Q48" i="49"/>
  <c r="P48" i="49"/>
  <c r="Q47" i="49"/>
  <c r="P47" i="49"/>
  <c r="Q35" i="49"/>
  <c r="P35" i="49"/>
  <c r="Q30" i="49"/>
  <c r="P30" i="49"/>
  <c r="Q29" i="49"/>
  <c r="P29" i="49"/>
  <c r="Q28" i="49"/>
  <c r="P28" i="49"/>
  <c r="Q27" i="49"/>
  <c r="P27" i="49"/>
  <c r="Q26" i="49"/>
  <c r="P26" i="49"/>
  <c r="Q12" i="49"/>
  <c r="P12" i="49"/>
  <c r="Q11" i="49"/>
  <c r="P11" i="49"/>
  <c r="Q10" i="49"/>
  <c r="P10" i="49"/>
  <c r="P70" i="49" l="1"/>
  <c r="Q70" i="49"/>
  <c r="I23" i="27" s="1"/>
  <c r="Q12" i="34"/>
  <c r="Q13" i="34"/>
  <c r="R14" i="34"/>
  <c r="R15" i="34"/>
  <c r="R16" i="34"/>
  <c r="Q20" i="34"/>
  <c r="Q21" i="34"/>
  <c r="R22" i="34"/>
  <c r="Q23" i="34"/>
  <c r="Q24" i="34"/>
  <c r="Q25" i="34"/>
  <c r="R25" i="34"/>
  <c r="Q26" i="34"/>
  <c r="Q28" i="34"/>
  <c r="Q29" i="34"/>
  <c r="R29" i="34"/>
  <c r="P33" i="46"/>
  <c r="Q33" i="46"/>
  <c r="P34" i="46"/>
  <c r="Q34" i="46"/>
  <c r="P35" i="46"/>
  <c r="Q35" i="46"/>
  <c r="Q8" i="46"/>
  <c r="P8" i="46"/>
  <c r="Q20" i="31"/>
  <c r="P20" i="31"/>
  <c r="Q19" i="31"/>
  <c r="P19" i="31"/>
  <c r="Q18" i="31"/>
  <c r="P18" i="31"/>
  <c r="Q17" i="31"/>
  <c r="P17" i="31"/>
  <c r="Q16" i="31"/>
  <c r="P16" i="31"/>
  <c r="Q15" i="31"/>
  <c r="P15" i="31"/>
  <c r="Q14" i="31"/>
  <c r="P14" i="31"/>
  <c r="Q13" i="31"/>
  <c r="P13" i="31"/>
  <c r="Q12" i="31"/>
  <c r="P12" i="31"/>
  <c r="Q11" i="31"/>
  <c r="P11" i="31"/>
  <c r="Q10" i="31"/>
  <c r="P10" i="31"/>
  <c r="Q9" i="31"/>
  <c r="P9" i="31"/>
  <c r="P9" i="44"/>
  <c r="Q9" i="44"/>
  <c r="P16" i="44"/>
  <c r="Q16" i="44"/>
  <c r="P17" i="44"/>
  <c r="Q17" i="44"/>
  <c r="P18" i="44"/>
  <c r="Q18" i="44"/>
  <c r="P19" i="44"/>
  <c r="Q19" i="44"/>
  <c r="P20" i="44"/>
  <c r="Q20" i="44"/>
  <c r="Q8" i="44"/>
  <c r="P8" i="44"/>
  <c r="P10" i="24"/>
  <c r="Q10" i="24"/>
  <c r="P11" i="24"/>
  <c r="Q11" i="24"/>
  <c r="P12" i="24"/>
  <c r="Q12" i="24"/>
  <c r="P13" i="24"/>
  <c r="Q13" i="24"/>
  <c r="P14" i="24"/>
  <c r="Q14" i="24"/>
  <c r="P15" i="24"/>
  <c r="Q15" i="24"/>
  <c r="P16" i="24"/>
  <c r="Q16" i="24"/>
  <c r="P17" i="24"/>
  <c r="Q17" i="24"/>
  <c r="P18" i="24"/>
  <c r="Q18" i="24"/>
  <c r="P19" i="24"/>
  <c r="Q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Q9" i="24"/>
  <c r="P9" i="24"/>
  <c r="P8" i="48"/>
  <c r="Q8" i="48"/>
  <c r="P9" i="48"/>
  <c r="Q9" i="48"/>
  <c r="P10" i="48"/>
  <c r="Q10" i="48"/>
  <c r="P11" i="48"/>
  <c r="Q11" i="48"/>
  <c r="P12" i="48"/>
  <c r="Q12" i="48"/>
  <c r="P13" i="48"/>
  <c r="Q13" i="48"/>
  <c r="P14" i="48"/>
  <c r="Q14" i="48"/>
  <c r="P15" i="48"/>
  <c r="Q15" i="48"/>
  <c r="P16" i="48"/>
  <c r="Q16" i="48"/>
  <c r="P17" i="48"/>
  <c r="Q17" i="48"/>
  <c r="P18" i="48"/>
  <c r="Q18" i="48"/>
  <c r="P19" i="48"/>
  <c r="Q19" i="48"/>
  <c r="P20" i="48"/>
  <c r="Q20" i="48"/>
  <c r="P21" i="48"/>
  <c r="Q21" i="48"/>
  <c r="P22" i="48"/>
  <c r="Q22" i="48"/>
  <c r="P24" i="48"/>
  <c r="Q24" i="48"/>
  <c r="P25" i="48"/>
  <c r="Q25" i="48"/>
  <c r="P26" i="48"/>
  <c r="Q26" i="48"/>
  <c r="P27" i="48"/>
  <c r="Q27" i="48"/>
  <c r="P28" i="48"/>
  <c r="Q28" i="48"/>
  <c r="P29" i="48"/>
  <c r="Q29" i="48"/>
  <c r="P30" i="48"/>
  <c r="Q30" i="48"/>
  <c r="P31" i="48"/>
  <c r="Q31" i="48"/>
  <c r="P32" i="48"/>
  <c r="Q32" i="48"/>
  <c r="P33" i="48"/>
  <c r="Q33" i="48"/>
  <c r="P34" i="48"/>
  <c r="Q34" i="48"/>
  <c r="P35" i="48"/>
  <c r="Q35" i="48"/>
  <c r="P36" i="48"/>
  <c r="Q36" i="48"/>
  <c r="P37" i="48"/>
  <c r="Q37" i="48"/>
  <c r="P38" i="48"/>
  <c r="Q38" i="48"/>
  <c r="P39" i="48"/>
  <c r="Q39" i="48"/>
  <c r="P40" i="48"/>
  <c r="Q40" i="48"/>
  <c r="P41" i="48"/>
  <c r="Q41" i="48"/>
  <c r="P42" i="48"/>
  <c r="Q42" i="48"/>
  <c r="Q23" i="48"/>
  <c r="P23" i="48"/>
  <c r="P9" i="47"/>
  <c r="Q9" i="47"/>
  <c r="P10" i="47"/>
  <c r="Q10" i="47"/>
  <c r="P11" i="47"/>
  <c r="Q11" i="47"/>
  <c r="P12" i="47"/>
  <c r="Q12" i="47"/>
  <c r="P14" i="47"/>
  <c r="Q14" i="47"/>
  <c r="P15" i="47"/>
  <c r="Q15" i="47"/>
  <c r="P16" i="47"/>
  <c r="Q16" i="47"/>
  <c r="P17" i="47"/>
  <c r="Q17" i="47"/>
  <c r="P18" i="47"/>
  <c r="Q18" i="47"/>
  <c r="P19" i="47"/>
  <c r="Q19" i="47"/>
  <c r="P20" i="47"/>
  <c r="Q20" i="47"/>
  <c r="Q8" i="47"/>
  <c r="P8" i="47"/>
  <c r="P11" i="33"/>
  <c r="Q11" i="33"/>
  <c r="P12" i="33"/>
  <c r="Q12" i="33"/>
  <c r="P13" i="33"/>
  <c r="Q13" i="33"/>
  <c r="P14" i="33"/>
  <c r="Q14" i="33"/>
  <c r="P15" i="33"/>
  <c r="Q15" i="33"/>
  <c r="P16" i="33"/>
  <c r="Q16" i="33"/>
  <c r="P17" i="33"/>
  <c r="Q17" i="33"/>
  <c r="P18" i="33"/>
  <c r="Q18" i="33"/>
  <c r="P19" i="33"/>
  <c r="Q19" i="33"/>
  <c r="P20" i="33"/>
  <c r="Q20" i="33"/>
  <c r="P21" i="33"/>
  <c r="Q21" i="33"/>
  <c r="P22" i="33"/>
  <c r="Q22" i="33"/>
  <c r="P23" i="33"/>
  <c r="Q23" i="33"/>
  <c r="P24" i="33"/>
  <c r="Q24" i="33"/>
  <c r="P25" i="33"/>
  <c r="Q25" i="33"/>
  <c r="P26" i="33"/>
  <c r="Q26" i="33"/>
  <c r="P27" i="33"/>
  <c r="Q27" i="33"/>
  <c r="P28" i="33"/>
  <c r="Q28" i="33"/>
  <c r="P29" i="33"/>
  <c r="Q29" i="33"/>
  <c r="P30" i="33"/>
  <c r="Q30" i="33"/>
  <c r="P31" i="33"/>
  <c r="Q31" i="33"/>
  <c r="P32" i="33"/>
  <c r="Q32" i="33"/>
  <c r="P33" i="33"/>
  <c r="Q33" i="33"/>
  <c r="P34" i="33"/>
  <c r="Q34" i="33"/>
  <c r="P35" i="33"/>
  <c r="Q35" i="33"/>
  <c r="Q10" i="33"/>
  <c r="P10" i="33"/>
  <c r="P9" i="23"/>
  <c r="Q9" i="23"/>
  <c r="P10" i="23"/>
  <c r="Q10" i="23"/>
  <c r="P11" i="23"/>
  <c r="Q11" i="23"/>
  <c r="P12" i="23"/>
  <c r="Q12" i="23"/>
  <c r="P13" i="23"/>
  <c r="Q13" i="23"/>
  <c r="P14" i="23"/>
  <c r="Q14" i="23"/>
  <c r="P15" i="23"/>
  <c r="Q15" i="23"/>
  <c r="P16" i="23"/>
  <c r="Q16" i="23"/>
  <c r="P17" i="23"/>
  <c r="Q17" i="23"/>
  <c r="P18" i="23"/>
  <c r="Q18" i="23"/>
  <c r="P19" i="23"/>
  <c r="Q19" i="23"/>
  <c r="P20" i="23"/>
  <c r="Q20" i="23"/>
  <c r="P21" i="23"/>
  <c r="Q21" i="23"/>
  <c r="P22" i="23"/>
  <c r="Q22" i="23"/>
  <c r="P23" i="23"/>
  <c r="Q23" i="23"/>
  <c r="P24" i="23"/>
  <c r="Q24" i="23"/>
  <c r="P25" i="23"/>
  <c r="Q25" i="23"/>
  <c r="P26" i="23"/>
  <c r="Q26" i="23"/>
  <c r="Q8" i="23"/>
  <c r="P8" i="23"/>
  <c r="Q42" i="30"/>
  <c r="P42" i="30"/>
  <c r="Q41" i="30"/>
  <c r="P41" i="30"/>
  <c r="Q40" i="30"/>
  <c r="P40" i="30"/>
  <c r="Q39" i="30"/>
  <c r="P39" i="30"/>
  <c r="Q38" i="30"/>
  <c r="P38" i="30"/>
  <c r="Q37" i="30"/>
  <c r="P37" i="30"/>
  <c r="Q36" i="30"/>
  <c r="P36" i="30"/>
  <c r="Q35" i="30"/>
  <c r="P35" i="30"/>
  <c r="Q34" i="30"/>
  <c r="P34" i="30"/>
  <c r="Q33" i="30"/>
  <c r="P33" i="30"/>
  <c r="Q32" i="30"/>
  <c r="P32" i="30"/>
  <c r="Q31" i="30"/>
  <c r="P31" i="30"/>
  <c r="Q29" i="30"/>
  <c r="P29" i="30"/>
  <c r="Q28" i="30"/>
  <c r="P28" i="30"/>
  <c r="Q27" i="30"/>
  <c r="P27" i="30"/>
  <c r="Q26" i="30"/>
  <c r="P26" i="30"/>
  <c r="Q25" i="30"/>
  <c r="P25" i="30"/>
  <c r="Q24" i="30"/>
  <c r="P24" i="30"/>
  <c r="Q23" i="30"/>
  <c r="P23" i="30"/>
  <c r="Q22" i="30"/>
  <c r="P22" i="30"/>
  <c r="Q21" i="30"/>
  <c r="P21" i="30"/>
  <c r="Q20" i="30"/>
  <c r="P20" i="30"/>
  <c r="Q19" i="30"/>
  <c r="P19" i="30"/>
  <c r="Q18" i="30"/>
  <c r="P18" i="30"/>
  <c r="Q17" i="30"/>
  <c r="P17" i="30"/>
  <c r="Q16" i="30"/>
  <c r="P16" i="30"/>
  <c r="Q15" i="30"/>
  <c r="P15" i="30"/>
  <c r="Q14" i="30"/>
  <c r="P14" i="30"/>
  <c r="Q13" i="30"/>
  <c r="P13" i="30"/>
  <c r="Q12" i="30"/>
  <c r="P12" i="30"/>
  <c r="Q11" i="30"/>
  <c r="P11" i="30"/>
  <c r="Q10" i="30"/>
  <c r="P10" i="30"/>
  <c r="Q20" i="29"/>
  <c r="P20" i="29"/>
  <c r="Q19" i="29"/>
  <c r="P19" i="29"/>
  <c r="Q18" i="29"/>
  <c r="P18" i="29"/>
  <c r="Q17" i="29"/>
  <c r="P17" i="29"/>
  <c r="Q16" i="29"/>
  <c r="P16" i="29"/>
  <c r="Q15" i="29"/>
  <c r="P15" i="29"/>
  <c r="Q14" i="29"/>
  <c r="P14" i="29"/>
  <c r="Q13" i="29"/>
  <c r="P13" i="29"/>
  <c r="Q12" i="29"/>
  <c r="P12" i="29"/>
  <c r="Q11" i="29"/>
  <c r="P11" i="29"/>
  <c r="Q10" i="29"/>
  <c r="P10" i="29"/>
  <c r="Q9" i="29"/>
  <c r="P9" i="29"/>
  <c r="Q8" i="29"/>
  <c r="P8" i="29"/>
  <c r="Q72" i="22"/>
  <c r="P72" i="22"/>
  <c r="Q71" i="22"/>
  <c r="P71" i="22"/>
  <c r="Q70" i="22"/>
  <c r="P70" i="22"/>
  <c r="Q69" i="22"/>
  <c r="P69" i="22"/>
  <c r="Q68" i="22"/>
  <c r="P68" i="22"/>
  <c r="Q67" i="22"/>
  <c r="P67" i="22"/>
  <c r="Q66" i="22"/>
  <c r="P66" i="22"/>
  <c r="Q65" i="22"/>
  <c r="P65" i="22"/>
  <c r="Q64" i="22"/>
  <c r="P64" i="22"/>
  <c r="Q63" i="22"/>
  <c r="P63" i="22"/>
  <c r="Q62" i="22"/>
  <c r="P62" i="22"/>
  <c r="Q61" i="22"/>
  <c r="P61" i="22"/>
  <c r="Q60" i="22"/>
  <c r="P60" i="22"/>
  <c r="Q59" i="22"/>
  <c r="P59" i="22"/>
  <c r="Q58" i="22"/>
  <c r="P58" i="22"/>
  <c r="Q57" i="22"/>
  <c r="P57" i="22"/>
  <c r="Q56" i="22"/>
  <c r="P56" i="22"/>
  <c r="Q55" i="22"/>
  <c r="P55" i="22"/>
  <c r="Q54" i="22"/>
  <c r="P54" i="22"/>
  <c r="Q53" i="22"/>
  <c r="P53" i="22"/>
  <c r="Q52" i="22"/>
  <c r="P52" i="22"/>
  <c r="Q51" i="22"/>
  <c r="P51" i="22"/>
  <c r="Q50" i="22"/>
  <c r="P50" i="22"/>
  <c r="Q49" i="22"/>
  <c r="P49" i="22"/>
  <c r="Q48" i="22"/>
  <c r="P48" i="22"/>
  <c r="Q47" i="22"/>
  <c r="P47" i="22"/>
  <c r="Q46" i="22"/>
  <c r="P46" i="22"/>
  <c r="Q45" i="22"/>
  <c r="P45" i="22"/>
  <c r="Q44" i="22"/>
  <c r="P44" i="22"/>
  <c r="Q43" i="22"/>
  <c r="P43" i="22"/>
  <c r="Q42" i="22"/>
  <c r="P42" i="22"/>
  <c r="Q41" i="22"/>
  <c r="P41" i="22"/>
  <c r="Q40" i="22"/>
  <c r="P40" i="22"/>
  <c r="Q39" i="22"/>
  <c r="P39" i="22"/>
  <c r="Q38" i="22"/>
  <c r="P38" i="22"/>
  <c r="Q37" i="22"/>
  <c r="P37" i="22"/>
  <c r="Q36" i="22"/>
  <c r="P36" i="22"/>
  <c r="Q35" i="22"/>
  <c r="P35" i="22"/>
  <c r="Q34" i="22"/>
  <c r="P34" i="22"/>
  <c r="Q33" i="22"/>
  <c r="P33" i="22"/>
  <c r="Q32" i="22"/>
  <c r="P32" i="22"/>
  <c r="Q31" i="22"/>
  <c r="P31" i="22"/>
  <c r="Q30" i="22"/>
  <c r="P30" i="22"/>
  <c r="Q29" i="22"/>
  <c r="P29" i="22"/>
  <c r="Q28" i="22"/>
  <c r="P28" i="22"/>
  <c r="Q27" i="22"/>
  <c r="P27" i="22"/>
  <c r="Q26" i="22"/>
  <c r="P26" i="22"/>
  <c r="Q25" i="22"/>
  <c r="P25" i="22"/>
  <c r="Q24" i="22"/>
  <c r="P24" i="22"/>
  <c r="Q23" i="22"/>
  <c r="P23" i="22"/>
  <c r="Q22" i="22"/>
  <c r="P22" i="22"/>
  <c r="Q21" i="22"/>
  <c r="P21" i="22"/>
  <c r="Q20" i="22"/>
  <c r="P20" i="22"/>
  <c r="Q19" i="22"/>
  <c r="P19" i="22"/>
  <c r="Q18" i="22"/>
  <c r="P18" i="22"/>
  <c r="Q17" i="22"/>
  <c r="P17" i="22"/>
  <c r="Q16" i="22"/>
  <c r="P16" i="22"/>
  <c r="Q15" i="22"/>
  <c r="P15" i="22"/>
  <c r="Q14" i="22"/>
  <c r="P14" i="22"/>
  <c r="Q13" i="22"/>
  <c r="P13" i="22"/>
  <c r="Q12" i="22"/>
  <c r="P12" i="22"/>
  <c r="Q11" i="22"/>
  <c r="P11" i="22"/>
  <c r="Q10" i="22"/>
  <c r="P10" i="22"/>
  <c r="Q9" i="22"/>
  <c r="P9" i="22"/>
  <c r="Q73" i="22"/>
  <c r="P73" i="22"/>
  <c r="P9" i="21"/>
  <c r="Q9" i="21"/>
  <c r="P10" i="21"/>
  <c r="Q10" i="21"/>
  <c r="P11" i="21"/>
  <c r="Q11" i="21"/>
  <c r="P12" i="21"/>
  <c r="Q12" i="21"/>
  <c r="P13" i="21"/>
  <c r="Q13" i="21"/>
  <c r="P14" i="21"/>
  <c r="Q14" i="21"/>
  <c r="P15" i="21"/>
  <c r="Q15" i="21"/>
  <c r="P16" i="21"/>
  <c r="Q16" i="21"/>
  <c r="P17" i="21"/>
  <c r="Q17" i="21"/>
  <c r="P18" i="21"/>
  <c r="Q18" i="21"/>
  <c r="P19" i="21"/>
  <c r="Q19" i="21"/>
  <c r="P20" i="21"/>
  <c r="Q20" i="21"/>
  <c r="P21" i="21"/>
  <c r="Q21" i="21"/>
  <c r="P22" i="21"/>
  <c r="Q22" i="21"/>
  <c r="P23" i="21"/>
  <c r="Q23" i="21"/>
  <c r="P24" i="21"/>
  <c r="Q24" i="21"/>
  <c r="P25" i="21"/>
  <c r="Q25" i="21"/>
  <c r="P26" i="21"/>
  <c r="Q26" i="21"/>
  <c r="P27" i="21"/>
  <c r="Q27" i="21"/>
  <c r="P28" i="21"/>
  <c r="Q28" i="21"/>
  <c r="P29" i="21"/>
  <c r="Q29" i="21"/>
  <c r="P30" i="21"/>
  <c r="Q30" i="21"/>
  <c r="P33" i="21"/>
  <c r="Q33" i="21"/>
  <c r="P34" i="21"/>
  <c r="Q34" i="21"/>
  <c r="P35" i="21"/>
  <c r="Q35" i="21"/>
  <c r="P36" i="21"/>
  <c r="Q36" i="21"/>
  <c r="P37" i="21"/>
  <c r="Q37" i="21"/>
  <c r="P38" i="21"/>
  <c r="Q38" i="21"/>
  <c r="P39" i="21"/>
  <c r="Q39" i="21"/>
  <c r="P40" i="21"/>
  <c r="Q40" i="21"/>
  <c r="P41" i="21"/>
  <c r="Q41" i="21"/>
  <c r="P42" i="21"/>
  <c r="Q42" i="21"/>
  <c r="P43" i="21"/>
  <c r="Q43" i="21"/>
  <c r="P44" i="21"/>
  <c r="Q44" i="21"/>
  <c r="P45" i="21"/>
  <c r="Q45" i="21"/>
  <c r="P46" i="21"/>
  <c r="Q46" i="21"/>
  <c r="Q8" i="21"/>
  <c r="P8" i="21"/>
  <c r="P10" i="28"/>
  <c r="P11" i="28"/>
  <c r="P12" i="28"/>
  <c r="P13" i="28"/>
  <c r="P14" i="28"/>
  <c r="P15" i="28"/>
  <c r="P16" i="28"/>
  <c r="P17" i="28"/>
  <c r="P18" i="28"/>
  <c r="P19" i="28"/>
  <c r="P20" i="28"/>
  <c r="P21" i="28"/>
  <c r="P22" i="28"/>
  <c r="P23" i="28"/>
  <c r="P24" i="28"/>
  <c r="P25" i="28"/>
  <c r="P26" i="28"/>
  <c r="P27" i="28"/>
  <c r="P9" i="28"/>
  <c r="Q9" i="28"/>
  <c r="Q10" i="28"/>
  <c r="Q11" i="28"/>
  <c r="Q12" i="28"/>
  <c r="Q13" i="28"/>
  <c r="Q14" i="28"/>
  <c r="Q15" i="28"/>
  <c r="Q16" i="28"/>
  <c r="Q17" i="28"/>
  <c r="Q18" i="28"/>
  <c r="Q19" i="28"/>
  <c r="Q20" i="28"/>
  <c r="Q21" i="28"/>
  <c r="Q22" i="28"/>
  <c r="Q23" i="28"/>
  <c r="Q24" i="28"/>
  <c r="Q25" i="28"/>
  <c r="Q26" i="28"/>
  <c r="Q27" i="28"/>
  <c r="O179" i="43" l="1"/>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O92" i="43"/>
  <c r="Q92" i="43" s="1"/>
  <c r="I92" i="43"/>
  <c r="F92" i="43"/>
  <c r="O91" i="43"/>
  <c r="P91" i="43" s="1"/>
  <c r="I91" i="43"/>
  <c r="F91" i="43"/>
  <c r="O90" i="43"/>
  <c r="Q90" i="43" s="1"/>
  <c r="I90" i="43"/>
  <c r="F90" i="43"/>
  <c r="O89" i="43"/>
  <c r="P89" i="43" s="1"/>
  <c r="I89" i="43"/>
  <c r="F89" i="43"/>
  <c r="O88" i="43"/>
  <c r="Q88" i="43" s="1"/>
  <c r="I88" i="43"/>
  <c r="F88" i="43"/>
  <c r="O87" i="43"/>
  <c r="P87" i="43" s="1"/>
  <c r="I87" i="43"/>
  <c r="F87" i="43"/>
  <c r="O86" i="43"/>
  <c r="Q86" i="43" s="1"/>
  <c r="I86" i="43"/>
  <c r="F86" i="43"/>
  <c r="O85" i="43"/>
  <c r="P85" i="43" s="1"/>
  <c r="I85" i="43"/>
  <c r="F85" i="43"/>
  <c r="O84" i="43"/>
  <c r="Q84" i="43" s="1"/>
  <c r="I84" i="43"/>
  <c r="F84" i="43"/>
  <c r="O83" i="43"/>
  <c r="P83" i="43" s="1"/>
  <c r="I83" i="43"/>
  <c r="F83" i="43"/>
  <c r="O82" i="43"/>
  <c r="Q82" i="43" s="1"/>
  <c r="I82" i="43"/>
  <c r="F82" i="43"/>
  <c r="O81" i="43"/>
  <c r="P81" i="43" s="1"/>
  <c r="I81" i="43"/>
  <c r="F81" i="43"/>
  <c r="O80" i="43"/>
  <c r="Q80" i="43" s="1"/>
  <c r="I80" i="43"/>
  <c r="F80" i="43"/>
  <c r="O79" i="43"/>
  <c r="P79" i="43" s="1"/>
  <c r="I79" i="43"/>
  <c r="F79" i="43"/>
  <c r="O78" i="43"/>
  <c r="Q78" i="43" s="1"/>
  <c r="I78" i="43"/>
  <c r="F78" i="43"/>
  <c r="O77" i="43"/>
  <c r="P77" i="43" s="1"/>
  <c r="I77" i="43"/>
  <c r="F77" i="43"/>
  <c r="O76" i="43"/>
  <c r="Q76" i="43" s="1"/>
  <c r="I76" i="43"/>
  <c r="F76" i="43"/>
  <c r="O75" i="43"/>
  <c r="P75" i="43" s="1"/>
  <c r="I75" i="43"/>
  <c r="F75" i="43"/>
  <c r="O74" i="43"/>
  <c r="Q74" i="43" s="1"/>
  <c r="I74" i="43"/>
  <c r="F74" i="43"/>
  <c r="O73" i="43"/>
  <c r="P73" i="43" s="1"/>
  <c r="I73" i="43"/>
  <c r="F73" i="43"/>
  <c r="O72" i="43"/>
  <c r="Q72" i="43" s="1"/>
  <c r="I72" i="43"/>
  <c r="F72" i="43"/>
  <c r="O71" i="43"/>
  <c r="P71" i="43" s="1"/>
  <c r="I71" i="43"/>
  <c r="F71" i="43"/>
  <c r="O70" i="43"/>
  <c r="Q70" i="43" s="1"/>
  <c r="I70" i="43"/>
  <c r="F70" i="43"/>
  <c r="O69" i="43"/>
  <c r="P69" i="43" s="1"/>
  <c r="I69" i="43"/>
  <c r="F69" i="43"/>
  <c r="O68" i="43"/>
  <c r="Q68" i="43" s="1"/>
  <c r="I68" i="43"/>
  <c r="F68" i="43"/>
  <c r="O67" i="43"/>
  <c r="P67" i="43" s="1"/>
  <c r="I67" i="43"/>
  <c r="F67" i="43"/>
  <c r="O66" i="43"/>
  <c r="Q66" i="43" s="1"/>
  <c r="I66" i="43"/>
  <c r="F66" i="43"/>
  <c r="O65" i="43"/>
  <c r="P65" i="43" s="1"/>
  <c r="I65" i="43"/>
  <c r="F65" i="43"/>
  <c r="O64" i="43"/>
  <c r="Q64" i="43" s="1"/>
  <c r="I64" i="43"/>
  <c r="F64" i="43"/>
  <c r="O63" i="43"/>
  <c r="P63" i="43" s="1"/>
  <c r="I63" i="43"/>
  <c r="F63" i="43"/>
  <c r="O62" i="43"/>
  <c r="Q62" i="43" s="1"/>
  <c r="I62" i="43"/>
  <c r="F62" i="43"/>
  <c r="O61" i="43"/>
  <c r="P61" i="43" s="1"/>
  <c r="I61" i="43"/>
  <c r="F61" i="43"/>
  <c r="O60" i="43"/>
  <c r="Q60" i="43" s="1"/>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D103" i="40" s="1"/>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D72" i="40" s="1"/>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743" i="12"/>
  <c r="J742" i="12"/>
  <c r="J741" i="12"/>
  <c r="J740" i="12"/>
  <c r="J739" i="12"/>
  <c r="J738" i="12"/>
  <c r="J737" i="12"/>
  <c r="J736" i="12"/>
  <c r="J735" i="12"/>
  <c r="J734" i="12"/>
  <c r="J733" i="12"/>
  <c r="J732" i="12"/>
  <c r="J731" i="12"/>
  <c r="J730" i="12"/>
  <c r="J729" i="12"/>
  <c r="J728" i="12"/>
  <c r="J727" i="12"/>
  <c r="J726" i="12"/>
  <c r="J725" i="12"/>
  <c r="J724" i="12"/>
  <c r="J723" i="12"/>
  <c r="J722" i="12"/>
  <c r="J721" i="12"/>
  <c r="J720" i="12"/>
  <c r="J719" i="12"/>
  <c r="J718" i="12"/>
  <c r="J717" i="12"/>
  <c r="J716" i="12"/>
  <c r="J715" i="12"/>
  <c r="J714" i="12"/>
  <c r="J713" i="12"/>
  <c r="J712" i="12"/>
  <c r="J711" i="12"/>
  <c r="J710" i="12"/>
  <c r="J699" i="12"/>
  <c r="J698" i="12"/>
  <c r="J697" i="12"/>
  <c r="J696" i="12"/>
  <c r="J695" i="12"/>
  <c r="J694" i="12"/>
  <c r="J693" i="12"/>
  <c r="J692" i="12"/>
  <c r="J691" i="12"/>
  <c r="J690" i="12"/>
  <c r="J689" i="12"/>
  <c r="J688" i="12"/>
  <c r="J687" i="12"/>
  <c r="J686" i="12"/>
  <c r="J685" i="12"/>
  <c r="J684" i="12"/>
  <c r="J683" i="12"/>
  <c r="J682" i="12"/>
  <c r="J681" i="12"/>
  <c r="J680" i="12"/>
  <c r="J679" i="12"/>
  <c r="J678" i="12"/>
  <c r="J677" i="12"/>
  <c r="J676" i="12"/>
  <c r="J675" i="12"/>
  <c r="J674" i="12"/>
  <c r="J673" i="12"/>
  <c r="J672" i="12"/>
  <c r="J671" i="12"/>
  <c r="J670" i="12"/>
  <c r="J669" i="12"/>
  <c r="J668" i="12"/>
  <c r="J667" i="12"/>
  <c r="J666" i="12"/>
  <c r="J655" i="12"/>
  <c r="J654" i="12"/>
  <c r="J653" i="12"/>
  <c r="J652" i="12"/>
  <c r="J651" i="12"/>
  <c r="J650" i="12"/>
  <c r="J649" i="12"/>
  <c r="J648" i="12"/>
  <c r="J647" i="12"/>
  <c r="J646" i="12"/>
  <c r="J645" i="12"/>
  <c r="J644" i="12"/>
  <c r="J643" i="12"/>
  <c r="J642" i="12"/>
  <c r="J641" i="12"/>
  <c r="J640" i="12"/>
  <c r="J639" i="12"/>
  <c r="J638" i="12"/>
  <c r="J637" i="12"/>
  <c r="J636" i="12"/>
  <c r="J635" i="12"/>
  <c r="J634" i="12"/>
  <c r="J633" i="12"/>
  <c r="J632" i="12"/>
  <c r="J631" i="12"/>
  <c r="J630" i="12"/>
  <c r="J629" i="12"/>
  <c r="J628" i="12"/>
  <c r="J627" i="12"/>
  <c r="J626" i="12"/>
  <c r="J625" i="12"/>
  <c r="J624" i="12"/>
  <c r="J623" i="12"/>
  <c r="J622" i="12"/>
  <c r="J611" i="12"/>
  <c r="J610" i="12"/>
  <c r="J609" i="12"/>
  <c r="J608" i="12"/>
  <c r="J567" i="12"/>
  <c r="J566" i="12"/>
  <c r="J565" i="12"/>
  <c r="J564" i="12"/>
  <c r="J563" i="12"/>
  <c r="J562" i="12"/>
  <c r="J561" i="12"/>
  <c r="J560" i="12"/>
  <c r="J559" i="12"/>
  <c r="J558" i="12"/>
  <c r="J557" i="12"/>
  <c r="J556" i="12"/>
  <c r="J555" i="12"/>
  <c r="J554" i="12"/>
  <c r="J553" i="12"/>
  <c r="J552" i="12"/>
  <c r="J551" i="12"/>
  <c r="J550" i="12"/>
  <c r="J549" i="12"/>
  <c r="J548" i="12"/>
  <c r="J547" i="12"/>
  <c r="J546" i="12"/>
  <c r="J545" i="12"/>
  <c r="J544" i="12"/>
  <c r="J543" i="12"/>
  <c r="J542" i="12"/>
  <c r="J541" i="12"/>
  <c r="J540" i="12"/>
  <c r="J539" i="12"/>
  <c r="J538" i="12"/>
  <c r="J537" i="12"/>
  <c r="J536" i="12"/>
  <c r="J523" i="12"/>
  <c r="J522" i="12"/>
  <c r="J521" i="12"/>
  <c r="J520" i="12"/>
  <c r="J519" i="12"/>
  <c r="J518" i="12"/>
  <c r="J517" i="12"/>
  <c r="J516" i="12"/>
  <c r="J515" i="12"/>
  <c r="J514" i="12"/>
  <c r="J513" i="12"/>
  <c r="J512" i="12"/>
  <c r="J511" i="12"/>
  <c r="J510" i="12"/>
  <c r="J509" i="12"/>
  <c r="J508" i="12"/>
  <c r="J507" i="12"/>
  <c r="J506" i="12"/>
  <c r="J505" i="12"/>
  <c r="J504" i="12"/>
  <c r="J503" i="12"/>
  <c r="J502" i="12"/>
  <c r="J501" i="12"/>
  <c r="J500" i="12"/>
  <c r="J499" i="12"/>
  <c r="J498" i="12"/>
  <c r="J497" i="12"/>
  <c r="J496" i="12"/>
  <c r="J495" i="12"/>
  <c r="J494" i="12"/>
  <c r="J493" i="12"/>
  <c r="J492" i="12"/>
  <c r="J491" i="12"/>
  <c r="J490" i="12"/>
  <c r="J479" i="12"/>
  <c r="J478" i="12"/>
  <c r="J477" i="12"/>
  <c r="J476" i="12"/>
  <c r="J475" i="12"/>
  <c r="J474" i="12"/>
  <c r="J473" i="12"/>
  <c r="J472" i="12"/>
  <c r="J471" i="12"/>
  <c r="J470" i="12"/>
  <c r="J469" i="12"/>
  <c r="J468" i="12"/>
  <c r="J467" i="12"/>
  <c r="J466" i="12"/>
  <c r="J465" i="12"/>
  <c r="J464" i="12"/>
  <c r="J463" i="12"/>
  <c r="J462" i="12"/>
  <c r="J461" i="12"/>
  <c r="J460" i="12"/>
  <c r="J459" i="12"/>
  <c r="J458" i="12"/>
  <c r="J457" i="12"/>
  <c r="J456" i="12"/>
  <c r="J455" i="12"/>
  <c r="J454" i="12"/>
  <c r="J453" i="12"/>
  <c r="J452" i="12"/>
  <c r="J451" i="12"/>
  <c r="J450" i="12"/>
  <c r="J449" i="12"/>
  <c r="J448" i="12"/>
  <c r="J447" i="12"/>
  <c r="J391" i="12"/>
  <c r="J358" i="12"/>
  <c r="J347" i="12"/>
  <c r="J346" i="12"/>
  <c r="J345" i="12"/>
  <c r="J344" i="12"/>
  <c r="J343" i="12"/>
  <c r="J342" i="12"/>
  <c r="J341" i="12"/>
  <c r="J340" i="12"/>
  <c r="J339" i="12"/>
  <c r="J338" i="12"/>
  <c r="J337" i="12"/>
  <c r="J336" i="12"/>
  <c r="J335" i="12"/>
  <c r="J334" i="12"/>
  <c r="J333" i="12"/>
  <c r="J332" i="12"/>
  <c r="J331" i="12"/>
  <c r="J330" i="12"/>
  <c r="J329" i="12"/>
  <c r="J303" i="12"/>
  <c r="J302" i="12"/>
  <c r="J301" i="12"/>
  <c r="J300" i="12"/>
  <c r="J299" i="12"/>
  <c r="J298" i="12"/>
  <c r="J297" i="12"/>
  <c r="J296" i="12"/>
  <c r="J295" i="12"/>
  <c r="J294" i="12"/>
  <c r="J293" i="12"/>
  <c r="J292" i="12"/>
  <c r="J291" i="12"/>
  <c r="J290" i="12"/>
  <c r="J289" i="12"/>
  <c r="J288" i="12"/>
  <c r="J287" i="12"/>
  <c r="J286" i="12"/>
  <c r="J285" i="12"/>
  <c r="J284" i="12"/>
  <c r="J283" i="12"/>
  <c r="J282" i="12"/>
  <c r="J281" i="12"/>
  <c r="J280" i="12"/>
  <c r="J279" i="12"/>
  <c r="J278" i="12"/>
  <c r="J277" i="12"/>
  <c r="J276" i="12"/>
  <c r="J275" i="12"/>
  <c r="J274" i="12"/>
  <c r="J273" i="12"/>
  <c r="J271" i="12"/>
  <c r="J270" i="12"/>
  <c r="J226" i="12"/>
  <c r="J170" i="12"/>
  <c r="J169" i="12"/>
  <c r="J168" i="12"/>
  <c r="J167" i="12"/>
  <c r="J166" i="12"/>
  <c r="J165" i="12"/>
  <c r="J164" i="12"/>
  <c r="J163" i="12"/>
  <c r="J162" i="12"/>
  <c r="J161" i="12"/>
  <c r="J160" i="12"/>
  <c r="J159" i="12"/>
  <c r="J158" i="12"/>
  <c r="J157" i="12"/>
  <c r="J156" i="12"/>
  <c r="J155" i="12"/>
  <c r="J154" i="12"/>
  <c r="J153" i="12"/>
  <c r="J152" i="12"/>
  <c r="J151" i="12"/>
  <c r="J150" i="12"/>
  <c r="J149" i="12"/>
  <c r="J148" i="12"/>
  <c r="J147" i="12"/>
  <c r="J126" i="12"/>
  <c r="J125" i="12"/>
  <c r="J124" i="12"/>
  <c r="J123" i="12"/>
  <c r="J121" i="12"/>
  <c r="J110" i="12"/>
  <c r="J109" i="12"/>
  <c r="J108" i="12"/>
  <c r="J107" i="12"/>
  <c r="J106" i="12"/>
  <c r="J105" i="12"/>
  <c r="J101" i="12"/>
  <c r="J100" i="12"/>
  <c r="J97" i="12"/>
  <c r="J96" i="12"/>
  <c r="J95" i="12"/>
  <c r="J8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F722" i="12"/>
  <c r="I721" i="12"/>
  <c r="F721" i="12"/>
  <c r="I720" i="12"/>
  <c r="F720" i="12"/>
  <c r="I719" i="12"/>
  <c r="F719" i="12"/>
  <c r="I718" i="12"/>
  <c r="F718" i="12"/>
  <c r="I717" i="12"/>
  <c r="F717" i="12"/>
  <c r="I716" i="12"/>
  <c r="F716" i="12"/>
  <c r="I715" i="12"/>
  <c r="F715" i="12"/>
  <c r="I714" i="12"/>
  <c r="F714" i="12"/>
  <c r="I713" i="12"/>
  <c r="F713" i="12"/>
  <c r="I712" i="12"/>
  <c r="F712" i="12"/>
  <c r="I711" i="12"/>
  <c r="F711" i="12"/>
  <c r="I710" i="12"/>
  <c r="F710" i="12"/>
  <c r="I709" i="12"/>
  <c r="E709" i="12"/>
  <c r="F709" i="12" s="1"/>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F678" i="12"/>
  <c r="I677" i="12"/>
  <c r="F677" i="12"/>
  <c r="I676" i="12"/>
  <c r="F676" i="12"/>
  <c r="I675" i="12"/>
  <c r="F675" i="12"/>
  <c r="I674" i="12"/>
  <c r="F674" i="12"/>
  <c r="I673" i="12"/>
  <c r="F673" i="12"/>
  <c r="I672" i="12"/>
  <c r="F672" i="12"/>
  <c r="I671" i="12"/>
  <c r="F671" i="12"/>
  <c r="I670" i="12"/>
  <c r="F670" i="12"/>
  <c r="I669" i="12"/>
  <c r="F669" i="12"/>
  <c r="I668" i="12"/>
  <c r="F668" i="12"/>
  <c r="I667" i="12"/>
  <c r="F667" i="12"/>
  <c r="I666" i="12"/>
  <c r="F666" i="12"/>
  <c r="I665" i="12"/>
  <c r="E665" i="12"/>
  <c r="F665" i="12" s="1"/>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F634" i="12"/>
  <c r="I633" i="12"/>
  <c r="F633" i="12"/>
  <c r="I632" i="12"/>
  <c r="F632" i="12"/>
  <c r="I631" i="12"/>
  <c r="F631" i="12"/>
  <c r="I630" i="12"/>
  <c r="F630" i="12"/>
  <c r="I629" i="12"/>
  <c r="F629" i="12"/>
  <c r="I628" i="12"/>
  <c r="F628" i="12"/>
  <c r="I627" i="12"/>
  <c r="F627" i="12"/>
  <c r="I626" i="12"/>
  <c r="F626" i="12"/>
  <c r="I625" i="12"/>
  <c r="F625" i="12"/>
  <c r="I624" i="12"/>
  <c r="F624" i="12"/>
  <c r="I623" i="12"/>
  <c r="F623" i="12"/>
  <c r="I622" i="12"/>
  <c r="F622" i="12"/>
  <c r="I621" i="12"/>
  <c r="E621" i="12"/>
  <c r="F621" i="12" s="1"/>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F590" i="12"/>
  <c r="I589" i="12"/>
  <c r="F589" i="12"/>
  <c r="I588" i="12"/>
  <c r="F588" i="12"/>
  <c r="I587" i="12"/>
  <c r="F587" i="12"/>
  <c r="I586" i="12"/>
  <c r="F586" i="12"/>
  <c r="I585" i="12"/>
  <c r="F585" i="12"/>
  <c r="I584" i="12"/>
  <c r="F584" i="12"/>
  <c r="I583" i="12"/>
  <c r="F583" i="12"/>
  <c r="I582" i="12"/>
  <c r="F582" i="12"/>
  <c r="I581" i="12"/>
  <c r="F581" i="12"/>
  <c r="I580" i="12"/>
  <c r="F580" i="12"/>
  <c r="I579" i="12"/>
  <c r="F579" i="12"/>
  <c r="I577" i="12"/>
  <c r="E577" i="12"/>
  <c r="F577" i="12" s="1"/>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F546" i="12"/>
  <c r="I545" i="12"/>
  <c r="F545" i="12"/>
  <c r="I544" i="12"/>
  <c r="F544" i="12"/>
  <c r="I543" i="12"/>
  <c r="F543" i="12"/>
  <c r="I542" i="12"/>
  <c r="F542" i="12"/>
  <c r="I541" i="12"/>
  <c r="F541" i="12"/>
  <c r="I540" i="12"/>
  <c r="F540" i="12"/>
  <c r="I539" i="12"/>
  <c r="F539" i="12"/>
  <c r="I538" i="12"/>
  <c r="F538" i="12"/>
  <c r="I537" i="12"/>
  <c r="F537" i="12"/>
  <c r="I536" i="12"/>
  <c r="F536" i="12"/>
  <c r="I533" i="12"/>
  <c r="E533" i="12"/>
  <c r="F533" i="12" s="1"/>
  <c r="D526" i="12" s="1"/>
  <c r="R26" i="34" s="1"/>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F502" i="12"/>
  <c r="I501" i="12"/>
  <c r="F501" i="12"/>
  <c r="I500" i="12"/>
  <c r="F500" i="12"/>
  <c r="I499" i="12"/>
  <c r="F499" i="12"/>
  <c r="I498" i="12"/>
  <c r="F498" i="12"/>
  <c r="I497" i="12"/>
  <c r="F497" i="12"/>
  <c r="I496" i="12"/>
  <c r="F496" i="12"/>
  <c r="I495" i="12"/>
  <c r="F495" i="12"/>
  <c r="I494" i="12"/>
  <c r="F494" i="12"/>
  <c r="I493" i="12"/>
  <c r="F493" i="12"/>
  <c r="I492" i="12"/>
  <c r="F492" i="12"/>
  <c r="I491" i="12"/>
  <c r="F491" i="12"/>
  <c r="I490" i="12"/>
  <c r="F490" i="12"/>
  <c r="I489" i="12"/>
  <c r="E489" i="12"/>
  <c r="F489" i="12" s="1"/>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F458" i="12"/>
  <c r="I457" i="12"/>
  <c r="F457" i="12"/>
  <c r="I456" i="12"/>
  <c r="F456" i="12"/>
  <c r="I455" i="12"/>
  <c r="F455" i="12"/>
  <c r="I454" i="12"/>
  <c r="F454" i="12"/>
  <c r="I453" i="12"/>
  <c r="F453" i="12"/>
  <c r="I452" i="12"/>
  <c r="F452" i="12"/>
  <c r="I451" i="12"/>
  <c r="F451" i="12"/>
  <c r="I450" i="12"/>
  <c r="F450" i="12"/>
  <c r="I449" i="12"/>
  <c r="F449" i="12"/>
  <c r="I448" i="12"/>
  <c r="F448" i="12"/>
  <c r="I447" i="12"/>
  <c r="F447" i="12"/>
  <c r="I445" i="12"/>
  <c r="E445" i="12"/>
  <c r="F445" i="12" s="1"/>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F414" i="12"/>
  <c r="I413" i="12"/>
  <c r="F413" i="12"/>
  <c r="I412" i="12"/>
  <c r="F412" i="12"/>
  <c r="I411" i="12"/>
  <c r="F411" i="12"/>
  <c r="I410" i="12"/>
  <c r="F410" i="12"/>
  <c r="I409" i="12"/>
  <c r="F409" i="12"/>
  <c r="I408" i="12"/>
  <c r="F408" i="12"/>
  <c r="F407" i="12"/>
  <c r="I405" i="12"/>
  <c r="I404" i="12"/>
  <c r="I403" i="12"/>
  <c r="F403" i="12"/>
  <c r="I402" i="12"/>
  <c r="F402" i="12"/>
  <c r="I401" i="12"/>
  <c r="E401" i="12"/>
  <c r="F401" i="12" s="1"/>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F370" i="12"/>
  <c r="I369" i="12"/>
  <c r="F369" i="12"/>
  <c r="I368" i="12"/>
  <c r="F368" i="12"/>
  <c r="I367" i="12"/>
  <c r="F367" i="12"/>
  <c r="I366" i="12"/>
  <c r="F366" i="12"/>
  <c r="I365" i="12"/>
  <c r="F365" i="12"/>
  <c r="I364" i="12"/>
  <c r="F364" i="12"/>
  <c r="I363" i="12"/>
  <c r="F363" i="12"/>
  <c r="I362" i="12"/>
  <c r="F362" i="12"/>
  <c r="I361" i="12"/>
  <c r="F361" i="12"/>
  <c r="I360" i="12"/>
  <c r="F360" i="12"/>
  <c r="I358" i="12"/>
  <c r="F358" i="12"/>
  <c r="I357" i="12"/>
  <c r="E357" i="12"/>
  <c r="F357" i="12" s="1"/>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F325" i="12"/>
  <c r="I324" i="12"/>
  <c r="F324" i="12"/>
  <c r="I323" i="12"/>
  <c r="F323" i="12"/>
  <c r="I322" i="12"/>
  <c r="F322" i="12"/>
  <c r="I321" i="12"/>
  <c r="F321" i="12"/>
  <c r="I320" i="12"/>
  <c r="F320" i="12"/>
  <c r="I319" i="12"/>
  <c r="F319" i="12"/>
  <c r="I318" i="12"/>
  <c r="F318" i="12"/>
  <c r="I317" i="12"/>
  <c r="F317" i="12"/>
  <c r="I316" i="12"/>
  <c r="F316" i="12"/>
  <c r="I313" i="12"/>
  <c r="E313" i="12"/>
  <c r="F313" i="12" s="1"/>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F281" i="12"/>
  <c r="I280" i="12"/>
  <c r="F280" i="12"/>
  <c r="I279" i="12"/>
  <c r="F279" i="12"/>
  <c r="I278" i="12"/>
  <c r="F278" i="12"/>
  <c r="I277" i="12"/>
  <c r="F277" i="12"/>
  <c r="I276" i="12"/>
  <c r="F276" i="12"/>
  <c r="I275" i="12"/>
  <c r="F275" i="12"/>
  <c r="I274" i="12"/>
  <c r="F274" i="12"/>
  <c r="I273" i="12"/>
  <c r="F273" i="12"/>
  <c r="I271" i="12"/>
  <c r="F271" i="12"/>
  <c r="I270" i="12"/>
  <c r="F270" i="12"/>
  <c r="I269" i="12"/>
  <c r="E269" i="12"/>
  <c r="F269" i="12" s="1"/>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F237" i="12"/>
  <c r="I236" i="12"/>
  <c r="F236" i="12"/>
  <c r="I235" i="12"/>
  <c r="F235" i="12"/>
  <c r="I234" i="12"/>
  <c r="F234" i="12"/>
  <c r="I233" i="12"/>
  <c r="F233" i="12"/>
  <c r="I232" i="12"/>
  <c r="F232" i="12"/>
  <c r="I231" i="12"/>
  <c r="F231" i="12"/>
  <c r="I230" i="12"/>
  <c r="F230" i="12"/>
  <c r="I229" i="12"/>
  <c r="F229" i="12"/>
  <c r="I228" i="12"/>
  <c r="F228" i="12"/>
  <c r="I227" i="12"/>
  <c r="F227" i="12"/>
  <c r="I226" i="12"/>
  <c r="F226" i="12"/>
  <c r="I225" i="12"/>
  <c r="E225" i="12"/>
  <c r="F225" i="12" s="1"/>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F193" i="12"/>
  <c r="I192" i="12"/>
  <c r="F192" i="12"/>
  <c r="I191" i="12"/>
  <c r="F191" i="12"/>
  <c r="I190" i="12"/>
  <c r="F190" i="12"/>
  <c r="I189" i="12"/>
  <c r="F189" i="12"/>
  <c r="I188" i="12"/>
  <c r="F188" i="12"/>
  <c r="I187" i="12"/>
  <c r="F187" i="12"/>
  <c r="I186" i="12"/>
  <c r="F186" i="12"/>
  <c r="I185" i="12"/>
  <c r="I184" i="12"/>
  <c r="I183" i="12"/>
  <c r="I180" i="12"/>
  <c r="F180"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F149" i="12"/>
  <c r="I148" i="12"/>
  <c r="F148" i="12"/>
  <c r="I147" i="12"/>
  <c r="F147" i="12"/>
  <c r="I146" i="12"/>
  <c r="I145" i="12"/>
  <c r="I144" i="12"/>
  <c r="I143" i="12"/>
  <c r="I142" i="12"/>
  <c r="I141" i="12"/>
  <c r="I140" i="12"/>
  <c r="I139" i="12"/>
  <c r="I138" i="12"/>
  <c r="I137" i="12"/>
  <c r="F137" i="12"/>
  <c r="I136" i="12"/>
  <c r="E136" i="12"/>
  <c r="F136" i="12" s="1"/>
  <c r="I126" i="12"/>
  <c r="F126" i="12"/>
  <c r="I125" i="12"/>
  <c r="F125" i="12"/>
  <c r="I124" i="12"/>
  <c r="F124" i="12"/>
  <c r="I123" i="12"/>
  <c r="F123" i="12"/>
  <c r="I122" i="12"/>
  <c r="F122" i="12"/>
  <c r="I121" i="12"/>
  <c r="F121" i="12"/>
  <c r="I120" i="12"/>
  <c r="E120" i="12"/>
  <c r="F120" i="12" s="1"/>
  <c r="I110" i="12"/>
  <c r="F110" i="12"/>
  <c r="I109" i="12"/>
  <c r="F109" i="12"/>
  <c r="I108" i="12"/>
  <c r="F108" i="12"/>
  <c r="I107" i="12"/>
  <c r="F107" i="12"/>
  <c r="I106" i="12"/>
  <c r="F106" i="12"/>
  <c r="I105" i="12"/>
  <c r="F105" i="12"/>
  <c r="I101" i="12"/>
  <c r="F101" i="12"/>
  <c r="I100" i="12"/>
  <c r="F100" i="12"/>
  <c r="I97" i="12"/>
  <c r="F97" i="12"/>
  <c r="I96" i="12"/>
  <c r="F96" i="12"/>
  <c r="I95" i="12"/>
  <c r="F95" i="12"/>
  <c r="I94" i="12"/>
  <c r="E94" i="12"/>
  <c r="F94" i="12" s="1"/>
  <c r="I84" i="12"/>
  <c r="F84" i="12"/>
  <c r="I83" i="12"/>
  <c r="F83" i="12"/>
  <c r="I82" i="12"/>
  <c r="F82" i="12"/>
  <c r="I81" i="12"/>
  <c r="F81" i="12"/>
  <c r="I80" i="12"/>
  <c r="F80" i="12"/>
  <c r="F79" i="12"/>
  <c r="I77" i="12"/>
  <c r="F77" i="12"/>
  <c r="I75" i="12"/>
  <c r="F75" i="12"/>
  <c r="I74" i="12"/>
  <c r="E74" i="12"/>
  <c r="F74" i="12" s="1"/>
  <c r="I64" i="12"/>
  <c r="F64" i="12"/>
  <c r="I63" i="12"/>
  <c r="F63" i="12"/>
  <c r="F60" i="12"/>
  <c r="D47" i="12" s="1"/>
  <c r="I34" i="12"/>
  <c r="E34" i="12"/>
  <c r="F34" i="12" s="1"/>
  <c r="J58" i="10"/>
  <c r="J57" i="10"/>
  <c r="J56" i="10"/>
  <c r="J55" i="10"/>
  <c r="J54" i="10"/>
  <c r="J53" i="10"/>
  <c r="J52" i="10"/>
  <c r="J51" i="10"/>
  <c r="J50" i="10"/>
  <c r="J49" i="10"/>
  <c r="J48" i="10"/>
  <c r="J47" i="10"/>
  <c r="J46" i="10"/>
  <c r="J81" i="10"/>
  <c r="J80" i="10"/>
  <c r="J79" i="10"/>
  <c r="J78" i="10"/>
  <c r="J77" i="10"/>
  <c r="J76" i="10"/>
  <c r="J75" i="10"/>
  <c r="J74" i="10"/>
  <c r="J73" i="10"/>
  <c r="J72" i="10"/>
  <c r="J71" i="10"/>
  <c r="J70" i="10"/>
  <c r="J69" i="10"/>
  <c r="J104" i="10"/>
  <c r="J103" i="10"/>
  <c r="J102" i="10"/>
  <c r="J101" i="10"/>
  <c r="J100" i="10"/>
  <c r="J99" i="10"/>
  <c r="J98" i="10"/>
  <c r="J97" i="10"/>
  <c r="J96" i="10"/>
  <c r="J95" i="10"/>
  <c r="J94" i="10"/>
  <c r="J93" i="10"/>
  <c r="J92" i="10"/>
  <c r="J127" i="10"/>
  <c r="J126" i="10"/>
  <c r="J125" i="10"/>
  <c r="J124" i="10"/>
  <c r="J123" i="10"/>
  <c r="J122" i="10"/>
  <c r="J121" i="10"/>
  <c r="J120" i="10"/>
  <c r="J119" i="10"/>
  <c r="J118" i="10"/>
  <c r="J117" i="10"/>
  <c r="J116" i="10"/>
  <c r="J115" i="10"/>
  <c r="J150" i="10"/>
  <c r="J149" i="10"/>
  <c r="J148" i="10"/>
  <c r="J147" i="10"/>
  <c r="J146" i="10"/>
  <c r="J145" i="10"/>
  <c r="J144" i="10"/>
  <c r="J143" i="10"/>
  <c r="J142" i="10"/>
  <c r="J141" i="10"/>
  <c r="J140" i="10"/>
  <c r="J139" i="10"/>
  <c r="J138" i="10"/>
  <c r="J173" i="10"/>
  <c r="J172" i="10"/>
  <c r="J171" i="10"/>
  <c r="J170" i="10"/>
  <c r="J169" i="10"/>
  <c r="J168" i="10"/>
  <c r="J167" i="10"/>
  <c r="J166" i="10"/>
  <c r="J165" i="10"/>
  <c r="J164" i="10"/>
  <c r="J163" i="10"/>
  <c r="J162" i="10"/>
  <c r="J161" i="10"/>
  <c r="J196" i="10"/>
  <c r="J195" i="10"/>
  <c r="J194" i="10"/>
  <c r="J193" i="10"/>
  <c r="J192" i="10"/>
  <c r="J191" i="10"/>
  <c r="J190" i="10"/>
  <c r="J189" i="10"/>
  <c r="J188" i="10"/>
  <c r="J187" i="10"/>
  <c r="J186" i="10"/>
  <c r="J185" i="10"/>
  <c r="J184" i="10"/>
  <c r="J219" i="10"/>
  <c r="J218" i="10"/>
  <c r="J217" i="10"/>
  <c r="J216" i="10"/>
  <c r="J215" i="10"/>
  <c r="J214" i="10"/>
  <c r="J213" i="10"/>
  <c r="J212" i="10"/>
  <c r="J211" i="10"/>
  <c r="J210" i="10"/>
  <c r="J209" i="10"/>
  <c r="J208" i="10"/>
  <c r="J207" i="10"/>
  <c r="J242" i="10"/>
  <c r="J241" i="10"/>
  <c r="J240" i="10"/>
  <c r="J239" i="10"/>
  <c r="J238" i="10"/>
  <c r="J237" i="10"/>
  <c r="J236" i="10"/>
  <c r="J235" i="10"/>
  <c r="J234" i="10"/>
  <c r="J233" i="10"/>
  <c r="J232" i="10"/>
  <c r="J231" i="10"/>
  <c r="J230" i="10"/>
  <c r="J265" i="10"/>
  <c r="J264" i="10"/>
  <c r="J263" i="10"/>
  <c r="J262" i="10"/>
  <c r="J261" i="10"/>
  <c r="J260" i="10"/>
  <c r="J259" i="10"/>
  <c r="J258" i="10"/>
  <c r="J257" i="10"/>
  <c r="J256" i="10"/>
  <c r="J255" i="10"/>
  <c r="J254" i="10"/>
  <c r="J253" i="10"/>
  <c r="J288" i="10"/>
  <c r="J287" i="10"/>
  <c r="J286" i="10"/>
  <c r="J285" i="10"/>
  <c r="J284" i="10"/>
  <c r="J283" i="10"/>
  <c r="J282" i="10"/>
  <c r="J281" i="10"/>
  <c r="J280" i="10"/>
  <c r="J279" i="10"/>
  <c r="J278" i="10"/>
  <c r="J277" i="10"/>
  <c r="J276" i="10"/>
  <c r="I288" i="10"/>
  <c r="F288" i="10"/>
  <c r="I287" i="10"/>
  <c r="F287" i="10"/>
  <c r="I286" i="10"/>
  <c r="F286" i="10"/>
  <c r="I285" i="10"/>
  <c r="F285" i="10"/>
  <c r="I284" i="10"/>
  <c r="F284" i="10"/>
  <c r="I283" i="10"/>
  <c r="F283" i="10"/>
  <c r="I282" i="10"/>
  <c r="F282" i="10"/>
  <c r="I281" i="10"/>
  <c r="F281" i="10"/>
  <c r="I280" i="10"/>
  <c r="F280" i="10"/>
  <c r="I279" i="10"/>
  <c r="F279" i="10"/>
  <c r="I278" i="10"/>
  <c r="F278" i="10"/>
  <c r="I277" i="10"/>
  <c r="F277" i="10"/>
  <c r="I276" i="10"/>
  <c r="E276" i="10"/>
  <c r="F276" i="10" s="1"/>
  <c r="I275" i="10"/>
  <c r="E275" i="10"/>
  <c r="F275" i="10" s="1"/>
  <c r="I265" i="10"/>
  <c r="F265" i="10"/>
  <c r="I264" i="10"/>
  <c r="F264" i="10"/>
  <c r="I263" i="10"/>
  <c r="F263" i="10"/>
  <c r="I262" i="10"/>
  <c r="F262" i="10"/>
  <c r="I261" i="10"/>
  <c r="F261" i="10"/>
  <c r="I260" i="10"/>
  <c r="F260" i="10"/>
  <c r="I259" i="10"/>
  <c r="F259" i="10"/>
  <c r="I258" i="10"/>
  <c r="F258" i="10"/>
  <c r="I257" i="10"/>
  <c r="F257" i="10"/>
  <c r="I256" i="10"/>
  <c r="F256" i="10"/>
  <c r="I255" i="10"/>
  <c r="F255" i="10"/>
  <c r="I254" i="10"/>
  <c r="F254" i="10"/>
  <c r="I253" i="10"/>
  <c r="E253" i="10"/>
  <c r="F253" i="10" s="1"/>
  <c r="I252" i="10"/>
  <c r="E252" i="10"/>
  <c r="F252" i="10" s="1"/>
  <c r="I242" i="10"/>
  <c r="F242" i="10"/>
  <c r="I241" i="10"/>
  <c r="F241" i="10"/>
  <c r="I240" i="10"/>
  <c r="F240" i="10"/>
  <c r="I239" i="10"/>
  <c r="F239" i="10"/>
  <c r="I238" i="10"/>
  <c r="F238" i="10"/>
  <c r="I237" i="10"/>
  <c r="F237" i="10"/>
  <c r="I236" i="10"/>
  <c r="F236" i="10"/>
  <c r="I235" i="10"/>
  <c r="F235" i="10"/>
  <c r="I234" i="10"/>
  <c r="F234" i="10"/>
  <c r="I233" i="10"/>
  <c r="F233" i="10"/>
  <c r="I232" i="10"/>
  <c r="F232" i="10"/>
  <c r="I231" i="10"/>
  <c r="F231" i="10"/>
  <c r="I230" i="10"/>
  <c r="E230" i="10"/>
  <c r="F230" i="10" s="1"/>
  <c r="I229" i="10"/>
  <c r="E229" i="10"/>
  <c r="F229" i="10" s="1"/>
  <c r="I219" i="10"/>
  <c r="F219" i="10"/>
  <c r="I218" i="10"/>
  <c r="F218" i="10"/>
  <c r="I217" i="10"/>
  <c r="F217" i="10"/>
  <c r="I216" i="10"/>
  <c r="F216" i="10"/>
  <c r="I215" i="10"/>
  <c r="F215" i="10"/>
  <c r="I214" i="10"/>
  <c r="F214" i="10"/>
  <c r="I213" i="10"/>
  <c r="F213" i="10"/>
  <c r="I212" i="10"/>
  <c r="F212" i="10"/>
  <c r="I211" i="10"/>
  <c r="F211" i="10"/>
  <c r="I210" i="10"/>
  <c r="F210" i="10"/>
  <c r="I209" i="10"/>
  <c r="F209" i="10"/>
  <c r="I208" i="10"/>
  <c r="F208" i="10"/>
  <c r="I207" i="10"/>
  <c r="E207" i="10"/>
  <c r="F207" i="10" s="1"/>
  <c r="I206" i="10"/>
  <c r="E206" i="10"/>
  <c r="F206" i="10" s="1"/>
  <c r="I196" i="10"/>
  <c r="F196" i="10"/>
  <c r="I195" i="10"/>
  <c r="F195" i="10"/>
  <c r="I194" i="10"/>
  <c r="F194" i="10"/>
  <c r="I193" i="10"/>
  <c r="F193" i="10"/>
  <c r="I192" i="10"/>
  <c r="F192" i="10"/>
  <c r="I191" i="10"/>
  <c r="F191" i="10"/>
  <c r="I190" i="10"/>
  <c r="F190" i="10"/>
  <c r="I189" i="10"/>
  <c r="F189" i="10"/>
  <c r="I188" i="10"/>
  <c r="F188" i="10"/>
  <c r="I187" i="10"/>
  <c r="F187" i="10"/>
  <c r="I186" i="10"/>
  <c r="F186" i="10"/>
  <c r="I185" i="10"/>
  <c r="F185" i="10"/>
  <c r="I184" i="10"/>
  <c r="E184" i="10"/>
  <c r="F184" i="10" s="1"/>
  <c r="I183" i="10"/>
  <c r="E183" i="10"/>
  <c r="F183" i="10" s="1"/>
  <c r="I173" i="10"/>
  <c r="F173" i="10"/>
  <c r="I172" i="10"/>
  <c r="F172" i="10"/>
  <c r="I171" i="10"/>
  <c r="F171" i="10"/>
  <c r="I170" i="10"/>
  <c r="F170" i="10"/>
  <c r="I169" i="10"/>
  <c r="F169" i="10"/>
  <c r="I168" i="10"/>
  <c r="F168" i="10"/>
  <c r="I167" i="10"/>
  <c r="F167" i="10"/>
  <c r="I166" i="10"/>
  <c r="F166" i="10"/>
  <c r="I165" i="10"/>
  <c r="F165" i="10"/>
  <c r="I164" i="10"/>
  <c r="F164" i="10"/>
  <c r="I163" i="10"/>
  <c r="F163" i="10"/>
  <c r="I162" i="10"/>
  <c r="F162" i="10"/>
  <c r="I161" i="10"/>
  <c r="E161" i="10"/>
  <c r="F161" i="10" s="1"/>
  <c r="I160" i="10"/>
  <c r="E160" i="10"/>
  <c r="F160" i="10" s="1"/>
  <c r="I150" i="10"/>
  <c r="F150" i="10"/>
  <c r="I149" i="10"/>
  <c r="F149" i="10"/>
  <c r="I148" i="10"/>
  <c r="F148" i="10"/>
  <c r="I147" i="10"/>
  <c r="F147" i="10"/>
  <c r="I146" i="10"/>
  <c r="F146" i="10"/>
  <c r="I145" i="10"/>
  <c r="F145" i="10"/>
  <c r="I144" i="10"/>
  <c r="F144" i="10"/>
  <c r="I143" i="10"/>
  <c r="F143" i="10"/>
  <c r="I142" i="10"/>
  <c r="F142" i="10"/>
  <c r="I141" i="10"/>
  <c r="F141" i="10"/>
  <c r="I140" i="10"/>
  <c r="F140" i="10"/>
  <c r="I139" i="10"/>
  <c r="F139" i="10"/>
  <c r="I138" i="10"/>
  <c r="E138" i="10"/>
  <c r="F138" i="10" s="1"/>
  <c r="I137" i="10"/>
  <c r="E137" i="10"/>
  <c r="F137" i="10" s="1"/>
  <c r="I127" i="10"/>
  <c r="F127" i="10"/>
  <c r="I126" i="10"/>
  <c r="F126" i="10"/>
  <c r="I125" i="10"/>
  <c r="F125" i="10"/>
  <c r="I124" i="10"/>
  <c r="F124" i="10"/>
  <c r="I123" i="10"/>
  <c r="F123" i="10"/>
  <c r="I122" i="10"/>
  <c r="F122" i="10"/>
  <c r="I121" i="10"/>
  <c r="F121" i="10"/>
  <c r="I120" i="10"/>
  <c r="F120" i="10"/>
  <c r="I119" i="10"/>
  <c r="F119" i="10"/>
  <c r="I118" i="10"/>
  <c r="F118" i="10"/>
  <c r="I117" i="10"/>
  <c r="F117" i="10"/>
  <c r="I116" i="10"/>
  <c r="F116" i="10"/>
  <c r="I115" i="10"/>
  <c r="E115" i="10"/>
  <c r="F115" i="10" s="1"/>
  <c r="I114" i="10"/>
  <c r="E114" i="10"/>
  <c r="F114" i="10" s="1"/>
  <c r="I104" i="10"/>
  <c r="F104" i="10"/>
  <c r="I103" i="10"/>
  <c r="F103" i="10"/>
  <c r="I102" i="10"/>
  <c r="F102" i="10"/>
  <c r="I101" i="10"/>
  <c r="F101" i="10"/>
  <c r="I100" i="10"/>
  <c r="F100" i="10"/>
  <c r="I99" i="10"/>
  <c r="F99" i="10"/>
  <c r="I98" i="10"/>
  <c r="F98" i="10"/>
  <c r="I97" i="10"/>
  <c r="F97" i="10"/>
  <c r="I96" i="10"/>
  <c r="F96" i="10"/>
  <c r="I95" i="10"/>
  <c r="F95" i="10"/>
  <c r="I94" i="10"/>
  <c r="F94" i="10"/>
  <c r="I93" i="10"/>
  <c r="F93" i="10"/>
  <c r="I92" i="10"/>
  <c r="E92" i="10"/>
  <c r="F92" i="10" s="1"/>
  <c r="I91" i="10"/>
  <c r="E91" i="10"/>
  <c r="F91" i="10" s="1"/>
  <c r="I81" i="10"/>
  <c r="F81" i="10"/>
  <c r="I80" i="10"/>
  <c r="F80" i="10"/>
  <c r="I79" i="10"/>
  <c r="F79" i="10"/>
  <c r="I78" i="10"/>
  <c r="F78" i="10"/>
  <c r="I77" i="10"/>
  <c r="F77" i="10"/>
  <c r="I76" i="10"/>
  <c r="F76" i="10"/>
  <c r="I75" i="10"/>
  <c r="F75" i="10"/>
  <c r="I74" i="10"/>
  <c r="F74" i="10"/>
  <c r="I73" i="10"/>
  <c r="F73" i="10"/>
  <c r="I72" i="10"/>
  <c r="F72" i="10"/>
  <c r="I71" i="10"/>
  <c r="F71" i="10"/>
  <c r="I70" i="10"/>
  <c r="F70" i="10"/>
  <c r="I69" i="10"/>
  <c r="E69" i="10"/>
  <c r="F69" i="10" s="1"/>
  <c r="I68" i="10"/>
  <c r="E68" i="10"/>
  <c r="F68" i="10" s="1"/>
  <c r="I58" i="10"/>
  <c r="F58" i="10"/>
  <c r="I57" i="10"/>
  <c r="F57" i="10"/>
  <c r="I56" i="10"/>
  <c r="F56" i="10"/>
  <c r="I55" i="10"/>
  <c r="F55" i="10"/>
  <c r="I54" i="10"/>
  <c r="F54" i="10"/>
  <c r="I53" i="10"/>
  <c r="F53" i="10"/>
  <c r="I52" i="10"/>
  <c r="F52" i="10"/>
  <c r="I51" i="10"/>
  <c r="F51" i="10"/>
  <c r="I50" i="10"/>
  <c r="F50" i="10"/>
  <c r="I49" i="10"/>
  <c r="F49" i="10"/>
  <c r="I48" i="10"/>
  <c r="F48" i="10"/>
  <c r="I47" i="10"/>
  <c r="F47" i="10"/>
  <c r="I46" i="10"/>
  <c r="E46" i="10"/>
  <c r="F46" i="10" s="1"/>
  <c r="I45" i="10"/>
  <c r="E45" i="10"/>
  <c r="F45" i="10" s="1"/>
  <c r="J237" i="9"/>
  <c r="J236" i="9"/>
  <c r="J235" i="9"/>
  <c r="J234" i="9"/>
  <c r="J233" i="9"/>
  <c r="J232" i="9"/>
  <c r="J231" i="9"/>
  <c r="J230" i="9"/>
  <c r="J229" i="9"/>
  <c r="J218" i="9"/>
  <c r="J217" i="9"/>
  <c r="J216" i="9"/>
  <c r="J215" i="9"/>
  <c r="J214" i="9"/>
  <c r="J213" i="9"/>
  <c r="J212" i="9"/>
  <c r="J211" i="9"/>
  <c r="J210" i="9"/>
  <c r="J199" i="9"/>
  <c r="J198" i="9"/>
  <c r="J197" i="9"/>
  <c r="J196" i="9"/>
  <c r="J195" i="9"/>
  <c r="J194" i="9"/>
  <c r="J193" i="9"/>
  <c r="J192" i="9"/>
  <c r="J191" i="9"/>
  <c r="J180" i="9"/>
  <c r="J179" i="9"/>
  <c r="J178" i="9"/>
  <c r="J177" i="9"/>
  <c r="J176" i="9"/>
  <c r="J175" i="9"/>
  <c r="J174" i="9"/>
  <c r="J173" i="9"/>
  <c r="J172" i="9"/>
  <c r="J161" i="9"/>
  <c r="J160" i="9"/>
  <c r="J159" i="9"/>
  <c r="J158" i="9"/>
  <c r="J157" i="9"/>
  <c r="J156" i="9"/>
  <c r="J155" i="9"/>
  <c r="J154" i="9"/>
  <c r="J153" i="9"/>
  <c r="J142" i="9"/>
  <c r="J141" i="9"/>
  <c r="J140" i="9"/>
  <c r="J139" i="9"/>
  <c r="J138" i="9"/>
  <c r="J137" i="9"/>
  <c r="J136" i="9"/>
  <c r="J135" i="9"/>
  <c r="J134" i="9"/>
  <c r="J123" i="9"/>
  <c r="J122" i="9"/>
  <c r="J121" i="9"/>
  <c r="J120" i="9"/>
  <c r="J119" i="9"/>
  <c r="J118" i="9"/>
  <c r="J117" i="9"/>
  <c r="J116" i="9"/>
  <c r="J115" i="9"/>
  <c r="J104" i="9"/>
  <c r="J103" i="9"/>
  <c r="J102" i="9"/>
  <c r="J101" i="9"/>
  <c r="J100" i="9"/>
  <c r="J99" i="9"/>
  <c r="J98" i="9"/>
  <c r="J97" i="9"/>
  <c r="J96" i="9"/>
  <c r="J85" i="9"/>
  <c r="J84" i="9"/>
  <c r="J83" i="9"/>
  <c r="J82" i="9"/>
  <c r="J81" i="9"/>
  <c r="J80" i="9"/>
  <c r="J79" i="9"/>
  <c r="J78" i="9"/>
  <c r="J77" i="9"/>
  <c r="J58" i="9"/>
  <c r="J47" i="9"/>
  <c r="J46" i="9"/>
  <c r="J45" i="9"/>
  <c r="J44" i="9"/>
  <c r="J38" i="9"/>
  <c r="J37" i="9"/>
  <c r="I237" i="9"/>
  <c r="F237" i="9"/>
  <c r="I236" i="9"/>
  <c r="F236" i="9"/>
  <c r="I235" i="9"/>
  <c r="F235" i="9"/>
  <c r="I234" i="9"/>
  <c r="F234" i="9"/>
  <c r="I233" i="9"/>
  <c r="F233" i="9"/>
  <c r="I232" i="9"/>
  <c r="F232" i="9"/>
  <c r="I231" i="9"/>
  <c r="F231" i="9"/>
  <c r="I230" i="9"/>
  <c r="F230" i="9"/>
  <c r="I229" i="9"/>
  <c r="F229" i="9"/>
  <c r="I228" i="9"/>
  <c r="F228" i="9"/>
  <c r="I218" i="9"/>
  <c r="F218" i="9"/>
  <c r="I217" i="9"/>
  <c r="F217" i="9"/>
  <c r="I216" i="9"/>
  <c r="F216" i="9"/>
  <c r="I215" i="9"/>
  <c r="F215" i="9"/>
  <c r="I214" i="9"/>
  <c r="F214" i="9"/>
  <c r="I213" i="9"/>
  <c r="F213" i="9"/>
  <c r="I212" i="9"/>
  <c r="F212" i="9"/>
  <c r="I211" i="9"/>
  <c r="F211" i="9"/>
  <c r="I210" i="9"/>
  <c r="F210" i="9"/>
  <c r="I209" i="9"/>
  <c r="F209" i="9"/>
  <c r="I199" i="9"/>
  <c r="F199" i="9"/>
  <c r="I198" i="9"/>
  <c r="F198" i="9"/>
  <c r="I197" i="9"/>
  <c r="F197" i="9"/>
  <c r="I196" i="9"/>
  <c r="F196" i="9"/>
  <c r="I195" i="9"/>
  <c r="F195" i="9"/>
  <c r="I194" i="9"/>
  <c r="F194" i="9"/>
  <c r="I193" i="9"/>
  <c r="F193" i="9"/>
  <c r="I192" i="9"/>
  <c r="F192" i="9"/>
  <c r="I191" i="9"/>
  <c r="F191" i="9"/>
  <c r="I190" i="9"/>
  <c r="F190" i="9"/>
  <c r="I180" i="9"/>
  <c r="F180" i="9"/>
  <c r="I179" i="9"/>
  <c r="F179" i="9"/>
  <c r="I178" i="9"/>
  <c r="F178" i="9"/>
  <c r="I177" i="9"/>
  <c r="F177" i="9"/>
  <c r="I176" i="9"/>
  <c r="F176" i="9"/>
  <c r="I175" i="9"/>
  <c r="F175" i="9"/>
  <c r="I174" i="9"/>
  <c r="F174" i="9"/>
  <c r="I173" i="9"/>
  <c r="F173" i="9"/>
  <c r="I172" i="9"/>
  <c r="F172" i="9"/>
  <c r="I171" i="9"/>
  <c r="F171" i="9"/>
  <c r="I161" i="9"/>
  <c r="F161" i="9"/>
  <c r="I160" i="9"/>
  <c r="F160" i="9"/>
  <c r="I159" i="9"/>
  <c r="F159" i="9"/>
  <c r="I158" i="9"/>
  <c r="F158" i="9"/>
  <c r="I157" i="9"/>
  <c r="F157" i="9"/>
  <c r="I156" i="9"/>
  <c r="F156" i="9"/>
  <c r="I155" i="9"/>
  <c r="F155" i="9"/>
  <c r="I154" i="9"/>
  <c r="F154" i="9"/>
  <c r="I153" i="9"/>
  <c r="F153" i="9"/>
  <c r="I152" i="9"/>
  <c r="F152" i="9"/>
  <c r="I142" i="9"/>
  <c r="F142" i="9"/>
  <c r="I141" i="9"/>
  <c r="F141" i="9"/>
  <c r="I140" i="9"/>
  <c r="F140" i="9"/>
  <c r="I139" i="9"/>
  <c r="F139" i="9"/>
  <c r="I138" i="9"/>
  <c r="F138" i="9"/>
  <c r="I137" i="9"/>
  <c r="F137" i="9"/>
  <c r="I136" i="9"/>
  <c r="F136" i="9"/>
  <c r="I135" i="9"/>
  <c r="F135" i="9"/>
  <c r="I134" i="9"/>
  <c r="F134" i="9"/>
  <c r="I133" i="9"/>
  <c r="F133" i="9"/>
  <c r="I123" i="9"/>
  <c r="F123" i="9"/>
  <c r="I122" i="9"/>
  <c r="F122" i="9"/>
  <c r="I121" i="9"/>
  <c r="F121" i="9"/>
  <c r="I120" i="9"/>
  <c r="F120" i="9"/>
  <c r="I119" i="9"/>
  <c r="F119" i="9"/>
  <c r="I118" i="9"/>
  <c r="F118" i="9"/>
  <c r="I117" i="9"/>
  <c r="F117" i="9"/>
  <c r="I116" i="9"/>
  <c r="F116" i="9"/>
  <c r="I115" i="9"/>
  <c r="F115" i="9"/>
  <c r="I114" i="9"/>
  <c r="F114" i="9"/>
  <c r="I104" i="9"/>
  <c r="F104" i="9"/>
  <c r="I103" i="9"/>
  <c r="F103" i="9"/>
  <c r="I102" i="9"/>
  <c r="F102" i="9"/>
  <c r="I101" i="9"/>
  <c r="F101" i="9"/>
  <c r="I100" i="9"/>
  <c r="F100" i="9"/>
  <c r="I99" i="9"/>
  <c r="F99" i="9"/>
  <c r="I98" i="9"/>
  <c r="F98" i="9"/>
  <c r="I97" i="9"/>
  <c r="F97" i="9"/>
  <c r="I96" i="9"/>
  <c r="F96" i="9"/>
  <c r="I95" i="9"/>
  <c r="F95" i="9"/>
  <c r="D88" i="9" s="1"/>
  <c r="I85" i="9"/>
  <c r="F85" i="9"/>
  <c r="I84" i="9"/>
  <c r="F84" i="9"/>
  <c r="I83" i="9"/>
  <c r="F83" i="9"/>
  <c r="I82" i="9"/>
  <c r="F82" i="9"/>
  <c r="I81" i="9"/>
  <c r="F81" i="9"/>
  <c r="I80" i="9"/>
  <c r="F80" i="9"/>
  <c r="I79" i="9"/>
  <c r="F79" i="9"/>
  <c r="I78" i="9"/>
  <c r="F78" i="9"/>
  <c r="I77" i="9"/>
  <c r="F77" i="9"/>
  <c r="I76" i="9"/>
  <c r="F76" i="9"/>
  <c r="D69" i="9" s="1"/>
  <c r="J66" i="9"/>
  <c r="I66" i="9"/>
  <c r="F66" i="9"/>
  <c r="J65" i="9"/>
  <c r="I65" i="9"/>
  <c r="F65" i="9"/>
  <c r="J64" i="9"/>
  <c r="I64" i="9"/>
  <c r="F64" i="9"/>
  <c r="J63" i="9"/>
  <c r="I63" i="9"/>
  <c r="F63" i="9"/>
  <c r="J62" i="9"/>
  <c r="I62" i="9"/>
  <c r="F62" i="9"/>
  <c r="J61" i="9"/>
  <c r="I61" i="9"/>
  <c r="F61" i="9"/>
  <c r="J60" i="9"/>
  <c r="I60" i="9"/>
  <c r="F60" i="9"/>
  <c r="J59" i="9"/>
  <c r="I59" i="9"/>
  <c r="F59" i="9"/>
  <c r="I58" i="9"/>
  <c r="F58" i="9"/>
  <c r="I57" i="9"/>
  <c r="F57" i="9"/>
  <c r="I47" i="9"/>
  <c r="I46" i="9"/>
  <c r="I45" i="9"/>
  <c r="I44" i="9"/>
  <c r="I42" i="9"/>
  <c r="I41" i="9"/>
  <c r="I39" i="9"/>
  <c r="I38" i="9"/>
  <c r="I37" i="9"/>
  <c r="I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s="1"/>
  <c r="G967" i="8" s="1"/>
  <c r="J964" i="8"/>
  <c r="G964" i="8"/>
  <c r="J963" i="8"/>
  <c r="G963" i="8"/>
  <c r="J962" i="8"/>
  <c r="G962" i="8"/>
  <c r="J961" i="8"/>
  <c r="J960" i="8"/>
  <c r="J959" i="8"/>
  <c r="G959" i="8"/>
  <c r="F961" i="8" s="1"/>
  <c r="G961" i="8" s="1"/>
  <c r="J958" i="8"/>
  <c r="J957" i="8"/>
  <c r="J956" i="8"/>
  <c r="F956" i="8"/>
  <c r="G956" i="8" s="1"/>
  <c r="J955" i="8"/>
  <c r="J954" i="8"/>
  <c r="J953" i="8"/>
  <c r="F953" i="8"/>
  <c r="G953" i="8" s="1"/>
  <c r="J952" i="8"/>
  <c r="J951" i="8"/>
  <c r="J950" i="8"/>
  <c r="F950" i="8"/>
  <c r="G950" i="8" s="1"/>
  <c r="J949" i="8"/>
  <c r="J948" i="8"/>
  <c r="J947" i="8"/>
  <c r="F947" i="8"/>
  <c r="G947" i="8" s="1"/>
  <c r="J946" i="8"/>
  <c r="J945" i="8"/>
  <c r="J944" i="8"/>
  <c r="F944" i="8"/>
  <c r="G944" i="8" s="1"/>
  <c r="J943" i="8"/>
  <c r="J942" i="8"/>
  <c r="J941" i="8"/>
  <c r="F941" i="8"/>
  <c r="G941" i="8" s="1"/>
  <c r="J940" i="8"/>
  <c r="J939" i="8"/>
  <c r="J938" i="8"/>
  <c r="F938" i="8"/>
  <c r="G938" i="8" s="1"/>
  <c r="J937" i="8"/>
  <c r="J936" i="8"/>
  <c r="J935" i="8"/>
  <c r="F935" i="8"/>
  <c r="G935" i="8" s="1"/>
  <c r="J934" i="8"/>
  <c r="J933" i="8"/>
  <c r="J932" i="8"/>
  <c r="F932" i="8"/>
  <c r="G932" i="8" s="1"/>
  <c r="J931" i="8"/>
  <c r="J930" i="8"/>
  <c r="J929" i="8"/>
  <c r="F929" i="8"/>
  <c r="G929" i="8" s="1"/>
  <c r="J928" i="8"/>
  <c r="J927" i="8"/>
  <c r="J926" i="8"/>
  <c r="F926" i="8"/>
  <c r="G926" i="8" s="1"/>
  <c r="J925" i="8"/>
  <c r="J924" i="8"/>
  <c r="J923" i="8"/>
  <c r="F923" i="8"/>
  <c r="G923" i="8" s="1"/>
  <c r="J922" i="8"/>
  <c r="J921" i="8"/>
  <c r="J920" i="8"/>
  <c r="F920" i="8"/>
  <c r="G920" i="8" s="1"/>
  <c r="J919" i="8"/>
  <c r="J918" i="8"/>
  <c r="J917" i="8"/>
  <c r="F917" i="8"/>
  <c r="G917" i="8" s="1"/>
  <c r="J907" i="8"/>
  <c r="J906" i="8"/>
  <c r="J905" i="8"/>
  <c r="G905" i="8"/>
  <c r="F906" i="8" s="1"/>
  <c r="G906" i="8" s="1"/>
  <c r="J904" i="8"/>
  <c r="G904" i="8"/>
  <c r="J903" i="8"/>
  <c r="G903" i="8"/>
  <c r="J902" i="8"/>
  <c r="G902" i="8"/>
  <c r="J901" i="8"/>
  <c r="J900" i="8"/>
  <c r="J899" i="8"/>
  <c r="G899" i="8"/>
  <c r="F900" i="8" s="1"/>
  <c r="G900" i="8" s="1"/>
  <c r="J898" i="8"/>
  <c r="J897" i="8"/>
  <c r="J896" i="8"/>
  <c r="F896" i="8"/>
  <c r="G896" i="8" s="1"/>
  <c r="J895" i="8"/>
  <c r="J894" i="8"/>
  <c r="J893" i="8"/>
  <c r="F893" i="8"/>
  <c r="G893" i="8" s="1"/>
  <c r="J892" i="8"/>
  <c r="J891" i="8"/>
  <c r="J890" i="8"/>
  <c r="F890" i="8"/>
  <c r="G890" i="8" s="1"/>
  <c r="J889" i="8"/>
  <c r="J888" i="8"/>
  <c r="J887" i="8"/>
  <c r="F887" i="8"/>
  <c r="G887" i="8" s="1"/>
  <c r="J886" i="8"/>
  <c r="J885" i="8"/>
  <c r="J884" i="8"/>
  <c r="F884" i="8"/>
  <c r="G884" i="8" s="1"/>
  <c r="J883" i="8"/>
  <c r="J882" i="8"/>
  <c r="J881" i="8"/>
  <c r="F881" i="8"/>
  <c r="G881" i="8" s="1"/>
  <c r="J880" i="8"/>
  <c r="J879" i="8"/>
  <c r="J878" i="8"/>
  <c r="F878" i="8"/>
  <c r="G878" i="8" s="1"/>
  <c r="J877" i="8"/>
  <c r="J876" i="8"/>
  <c r="J875" i="8"/>
  <c r="F875" i="8"/>
  <c r="G875" i="8" s="1"/>
  <c r="J874" i="8"/>
  <c r="J873" i="8"/>
  <c r="J872" i="8"/>
  <c r="F872" i="8"/>
  <c r="G872" i="8" s="1"/>
  <c r="J871" i="8"/>
  <c r="J870" i="8"/>
  <c r="J869" i="8"/>
  <c r="F869" i="8"/>
  <c r="G869" i="8" s="1"/>
  <c r="J868" i="8"/>
  <c r="J867" i="8"/>
  <c r="J866" i="8"/>
  <c r="F866" i="8"/>
  <c r="G866" i="8" s="1"/>
  <c r="J865" i="8"/>
  <c r="J864" i="8"/>
  <c r="J863" i="8"/>
  <c r="F863" i="8"/>
  <c r="G863" i="8" s="1"/>
  <c r="J862" i="8"/>
  <c r="J861" i="8"/>
  <c r="J860" i="8"/>
  <c r="F860" i="8"/>
  <c r="G860" i="8" s="1"/>
  <c r="J859" i="8"/>
  <c r="J858" i="8"/>
  <c r="J857" i="8"/>
  <c r="F857" i="8"/>
  <c r="G857" i="8" s="1"/>
  <c r="J847" i="8"/>
  <c r="J846" i="8"/>
  <c r="J845" i="8"/>
  <c r="G845" i="8"/>
  <c r="F847" i="8" s="1"/>
  <c r="G847" i="8" s="1"/>
  <c r="J844" i="8"/>
  <c r="G844" i="8"/>
  <c r="J843" i="8"/>
  <c r="G843" i="8"/>
  <c r="J842" i="8"/>
  <c r="G842" i="8"/>
  <c r="J841" i="8"/>
  <c r="J840" i="8"/>
  <c r="J839" i="8"/>
  <c r="G839" i="8"/>
  <c r="F841" i="8" s="1"/>
  <c r="G841" i="8" s="1"/>
  <c r="J838" i="8"/>
  <c r="J837" i="8"/>
  <c r="J836" i="8"/>
  <c r="F836" i="8"/>
  <c r="G836" i="8" s="1"/>
  <c r="J835" i="8"/>
  <c r="J834" i="8"/>
  <c r="J833" i="8"/>
  <c r="F833" i="8"/>
  <c r="G833" i="8" s="1"/>
  <c r="J832" i="8"/>
  <c r="J831" i="8"/>
  <c r="J830" i="8"/>
  <c r="F830" i="8"/>
  <c r="G830" i="8" s="1"/>
  <c r="J829" i="8"/>
  <c r="J828" i="8"/>
  <c r="J827" i="8"/>
  <c r="F827" i="8"/>
  <c r="G827" i="8" s="1"/>
  <c r="J826" i="8"/>
  <c r="J825" i="8"/>
  <c r="J824" i="8"/>
  <c r="F824" i="8"/>
  <c r="G824" i="8" s="1"/>
  <c r="J823" i="8"/>
  <c r="J822" i="8"/>
  <c r="J821" i="8"/>
  <c r="F821" i="8"/>
  <c r="G821" i="8" s="1"/>
  <c r="J820" i="8"/>
  <c r="J819" i="8"/>
  <c r="J818" i="8"/>
  <c r="F818" i="8"/>
  <c r="G818" i="8" s="1"/>
  <c r="J817" i="8"/>
  <c r="J816" i="8"/>
  <c r="J815" i="8"/>
  <c r="F815" i="8"/>
  <c r="G815" i="8" s="1"/>
  <c r="J814" i="8"/>
  <c r="J813" i="8"/>
  <c r="J812" i="8"/>
  <c r="F812" i="8"/>
  <c r="G812" i="8" s="1"/>
  <c r="J811" i="8"/>
  <c r="J810" i="8"/>
  <c r="J809" i="8"/>
  <c r="F809" i="8"/>
  <c r="G809" i="8" s="1"/>
  <c r="J808" i="8"/>
  <c r="J807" i="8"/>
  <c r="J806" i="8"/>
  <c r="F806" i="8"/>
  <c r="G806" i="8" s="1"/>
  <c r="J805" i="8"/>
  <c r="J804" i="8"/>
  <c r="J803" i="8"/>
  <c r="F803" i="8"/>
  <c r="G803" i="8" s="1"/>
  <c r="F805" i="8" s="1"/>
  <c r="G805" i="8" s="1"/>
  <c r="J802" i="8"/>
  <c r="J801" i="8"/>
  <c r="J800" i="8"/>
  <c r="F800" i="8"/>
  <c r="G800" i="8" s="1"/>
  <c r="F801" i="8" s="1"/>
  <c r="G801" i="8" s="1"/>
  <c r="J799" i="8"/>
  <c r="J798" i="8"/>
  <c r="J797" i="8"/>
  <c r="F797" i="8"/>
  <c r="G797" i="8" s="1"/>
  <c r="F798" i="8" s="1"/>
  <c r="G798" i="8" s="1"/>
  <c r="J787" i="8"/>
  <c r="J786" i="8"/>
  <c r="J785" i="8"/>
  <c r="G785" i="8"/>
  <c r="J784" i="8"/>
  <c r="G784" i="8"/>
  <c r="J783" i="8"/>
  <c r="G783" i="8"/>
  <c r="J782" i="8"/>
  <c r="G782" i="8"/>
  <c r="J781" i="8"/>
  <c r="J780" i="8"/>
  <c r="J779" i="8"/>
  <c r="G779" i="8"/>
  <c r="J778" i="8"/>
  <c r="J777" i="8"/>
  <c r="J776" i="8"/>
  <c r="F776" i="8"/>
  <c r="G776" i="8" s="1"/>
  <c r="F778" i="8" s="1"/>
  <c r="G778" i="8" s="1"/>
  <c r="J775" i="8"/>
  <c r="J774" i="8"/>
  <c r="J773" i="8"/>
  <c r="F773" i="8"/>
  <c r="G773" i="8" s="1"/>
  <c r="F775" i="8" s="1"/>
  <c r="G775" i="8" s="1"/>
  <c r="J772" i="8"/>
  <c r="J771" i="8"/>
  <c r="J770" i="8"/>
  <c r="F770" i="8"/>
  <c r="G770" i="8" s="1"/>
  <c r="F771" i="8" s="1"/>
  <c r="G771" i="8" s="1"/>
  <c r="J769" i="8"/>
  <c r="J768" i="8"/>
  <c r="J767" i="8"/>
  <c r="F767" i="8"/>
  <c r="G767" i="8" s="1"/>
  <c r="F769" i="8" s="1"/>
  <c r="G769" i="8" s="1"/>
  <c r="J766" i="8"/>
  <c r="J765" i="8"/>
  <c r="J764" i="8"/>
  <c r="F764" i="8"/>
  <c r="G764" i="8" s="1"/>
  <c r="F765" i="8" s="1"/>
  <c r="G765" i="8" s="1"/>
  <c r="J763" i="8"/>
  <c r="J762" i="8"/>
  <c r="J761" i="8"/>
  <c r="F761" i="8"/>
  <c r="G761" i="8" s="1"/>
  <c r="F763" i="8" s="1"/>
  <c r="G763" i="8" s="1"/>
  <c r="J760" i="8"/>
  <c r="J759" i="8"/>
  <c r="J758" i="8"/>
  <c r="F758" i="8"/>
  <c r="G758" i="8" s="1"/>
  <c r="F759" i="8" s="1"/>
  <c r="G759" i="8" s="1"/>
  <c r="J757" i="8"/>
  <c r="J756" i="8"/>
  <c r="J755" i="8"/>
  <c r="F755" i="8"/>
  <c r="G755" i="8" s="1"/>
  <c r="F757" i="8" s="1"/>
  <c r="G757" i="8" s="1"/>
  <c r="J754" i="8"/>
  <c r="J753" i="8"/>
  <c r="J752" i="8"/>
  <c r="F752" i="8"/>
  <c r="G752" i="8" s="1"/>
  <c r="F754" i="8" s="1"/>
  <c r="G754" i="8" s="1"/>
  <c r="J751" i="8"/>
  <c r="J750" i="8"/>
  <c r="J749" i="8"/>
  <c r="F749" i="8"/>
  <c r="G749" i="8" s="1"/>
  <c r="F751" i="8" s="1"/>
  <c r="G751" i="8" s="1"/>
  <c r="J748" i="8"/>
  <c r="J747" i="8"/>
  <c r="J746" i="8"/>
  <c r="F746" i="8"/>
  <c r="G746" i="8" s="1"/>
  <c r="F747" i="8" s="1"/>
  <c r="G747" i="8" s="1"/>
  <c r="J745" i="8"/>
  <c r="J744" i="8"/>
  <c r="J743" i="8"/>
  <c r="F743" i="8"/>
  <c r="G743" i="8" s="1"/>
  <c r="F744" i="8" s="1"/>
  <c r="G744" i="8" s="1"/>
  <c r="J742" i="8"/>
  <c r="J741" i="8"/>
  <c r="J740" i="8"/>
  <c r="F740" i="8"/>
  <c r="G740" i="8" s="1"/>
  <c r="F742" i="8" s="1"/>
  <c r="G742" i="8" s="1"/>
  <c r="J739" i="8"/>
  <c r="J738" i="8"/>
  <c r="J737" i="8"/>
  <c r="F737" i="8"/>
  <c r="G737" i="8" s="1"/>
  <c r="F738" i="8" s="1"/>
  <c r="G738" i="8" s="1"/>
  <c r="J727" i="8"/>
  <c r="J726" i="8"/>
  <c r="J725" i="8"/>
  <c r="G725" i="8"/>
  <c r="F727" i="8" s="1"/>
  <c r="G727" i="8" s="1"/>
  <c r="J724" i="8"/>
  <c r="G724" i="8"/>
  <c r="J723" i="8"/>
  <c r="G723" i="8"/>
  <c r="J722" i="8"/>
  <c r="G722" i="8"/>
  <c r="J721" i="8"/>
  <c r="J720" i="8"/>
  <c r="J719" i="8"/>
  <c r="G719" i="8"/>
  <c r="F721" i="8" s="1"/>
  <c r="G721" i="8" s="1"/>
  <c r="J718" i="8"/>
  <c r="J717" i="8"/>
  <c r="J716" i="8"/>
  <c r="F716" i="8"/>
  <c r="G716" i="8" s="1"/>
  <c r="F718" i="8" s="1"/>
  <c r="G718" i="8" s="1"/>
  <c r="J715" i="8"/>
  <c r="J714" i="8"/>
  <c r="J713" i="8"/>
  <c r="F713" i="8"/>
  <c r="G713" i="8" s="1"/>
  <c r="F715" i="8" s="1"/>
  <c r="G715" i="8" s="1"/>
  <c r="J712" i="8"/>
  <c r="J711" i="8"/>
  <c r="J710" i="8"/>
  <c r="F710" i="8"/>
  <c r="G710" i="8" s="1"/>
  <c r="F712" i="8" s="1"/>
  <c r="G712" i="8" s="1"/>
  <c r="J709" i="8"/>
  <c r="J708" i="8"/>
  <c r="J707" i="8"/>
  <c r="F707" i="8"/>
  <c r="G707" i="8" s="1"/>
  <c r="F709" i="8" s="1"/>
  <c r="G709" i="8" s="1"/>
  <c r="J706" i="8"/>
  <c r="J705" i="8"/>
  <c r="J704" i="8"/>
  <c r="F704" i="8"/>
  <c r="G704" i="8" s="1"/>
  <c r="F706" i="8" s="1"/>
  <c r="G706" i="8" s="1"/>
  <c r="J703" i="8"/>
  <c r="J702" i="8"/>
  <c r="J701" i="8"/>
  <c r="F701" i="8"/>
  <c r="G701" i="8" s="1"/>
  <c r="F703" i="8" s="1"/>
  <c r="G703" i="8" s="1"/>
  <c r="J700" i="8"/>
  <c r="J699" i="8"/>
  <c r="J698" i="8"/>
  <c r="F698" i="8"/>
  <c r="G698" i="8" s="1"/>
  <c r="F700" i="8" s="1"/>
  <c r="G700" i="8" s="1"/>
  <c r="J697" i="8"/>
  <c r="J696" i="8"/>
  <c r="J695" i="8"/>
  <c r="F695" i="8"/>
  <c r="G695" i="8" s="1"/>
  <c r="F697" i="8" s="1"/>
  <c r="G697" i="8" s="1"/>
  <c r="J694" i="8"/>
  <c r="J693" i="8"/>
  <c r="J692" i="8"/>
  <c r="F692" i="8"/>
  <c r="G692" i="8" s="1"/>
  <c r="F694" i="8" s="1"/>
  <c r="G694" i="8" s="1"/>
  <c r="J691" i="8"/>
  <c r="J690" i="8"/>
  <c r="J689" i="8"/>
  <c r="F689" i="8"/>
  <c r="G689" i="8" s="1"/>
  <c r="F691" i="8" s="1"/>
  <c r="G691" i="8" s="1"/>
  <c r="J688" i="8"/>
  <c r="J687" i="8"/>
  <c r="J686" i="8"/>
  <c r="F686" i="8"/>
  <c r="G686" i="8" s="1"/>
  <c r="F688" i="8" s="1"/>
  <c r="G688" i="8" s="1"/>
  <c r="J685" i="8"/>
  <c r="J684" i="8"/>
  <c r="J683" i="8"/>
  <c r="F683" i="8"/>
  <c r="G683" i="8" s="1"/>
  <c r="F685" i="8" s="1"/>
  <c r="G685" i="8" s="1"/>
  <c r="J682" i="8"/>
  <c r="J681" i="8"/>
  <c r="J680" i="8"/>
  <c r="F680" i="8"/>
  <c r="G680" i="8" s="1"/>
  <c r="F682" i="8" s="1"/>
  <c r="G682" i="8" s="1"/>
  <c r="J679" i="8"/>
  <c r="J678" i="8"/>
  <c r="J677" i="8"/>
  <c r="F677" i="8"/>
  <c r="G677" i="8" s="1"/>
  <c r="J667" i="8"/>
  <c r="J666" i="8"/>
  <c r="J665" i="8"/>
  <c r="G665" i="8"/>
  <c r="F666" i="8" s="1"/>
  <c r="G666" i="8" s="1"/>
  <c r="J664" i="8"/>
  <c r="G664" i="8"/>
  <c r="J663" i="8"/>
  <c r="G663" i="8"/>
  <c r="J662" i="8"/>
  <c r="G662" i="8"/>
  <c r="J661" i="8"/>
  <c r="J660" i="8"/>
  <c r="J659" i="8"/>
  <c r="G659" i="8"/>
  <c r="F660" i="8" s="1"/>
  <c r="G660" i="8" s="1"/>
  <c r="J658" i="8"/>
  <c r="J657" i="8"/>
  <c r="J656" i="8"/>
  <c r="F656" i="8"/>
  <c r="G656" i="8" s="1"/>
  <c r="F658" i="8" s="1"/>
  <c r="G658" i="8" s="1"/>
  <c r="J655" i="8"/>
  <c r="J654" i="8"/>
  <c r="J653" i="8"/>
  <c r="F653" i="8"/>
  <c r="G653" i="8" s="1"/>
  <c r="F655" i="8" s="1"/>
  <c r="G655" i="8" s="1"/>
  <c r="J652" i="8"/>
  <c r="J651" i="8"/>
  <c r="J650" i="8"/>
  <c r="F650" i="8"/>
  <c r="G650" i="8" s="1"/>
  <c r="F652" i="8" s="1"/>
  <c r="G652" i="8" s="1"/>
  <c r="J649" i="8"/>
  <c r="J648" i="8"/>
  <c r="J647" i="8"/>
  <c r="F647" i="8"/>
  <c r="G647" i="8" s="1"/>
  <c r="F649" i="8" s="1"/>
  <c r="G649" i="8" s="1"/>
  <c r="J646" i="8"/>
  <c r="J645" i="8"/>
  <c r="J644" i="8"/>
  <c r="F644" i="8"/>
  <c r="G644" i="8" s="1"/>
  <c r="F646" i="8" s="1"/>
  <c r="G646" i="8" s="1"/>
  <c r="J643" i="8"/>
  <c r="J642" i="8"/>
  <c r="J641" i="8"/>
  <c r="F641" i="8"/>
  <c r="G641" i="8" s="1"/>
  <c r="F643" i="8" s="1"/>
  <c r="G643" i="8" s="1"/>
  <c r="J640" i="8"/>
  <c r="J639" i="8"/>
  <c r="J638" i="8"/>
  <c r="F638" i="8"/>
  <c r="G638" i="8" s="1"/>
  <c r="F640" i="8" s="1"/>
  <c r="G640" i="8" s="1"/>
  <c r="J637" i="8"/>
  <c r="J636" i="8"/>
  <c r="J635" i="8"/>
  <c r="F635" i="8"/>
  <c r="G635" i="8" s="1"/>
  <c r="F637" i="8" s="1"/>
  <c r="G637" i="8" s="1"/>
  <c r="J634" i="8"/>
  <c r="J633" i="8"/>
  <c r="J632" i="8"/>
  <c r="F632" i="8"/>
  <c r="G632" i="8" s="1"/>
  <c r="F634" i="8" s="1"/>
  <c r="G634" i="8" s="1"/>
  <c r="J631" i="8"/>
  <c r="J630" i="8"/>
  <c r="J629" i="8"/>
  <c r="F629" i="8"/>
  <c r="G629" i="8" s="1"/>
  <c r="F631" i="8" s="1"/>
  <c r="G631" i="8" s="1"/>
  <c r="J628" i="8"/>
  <c r="J627" i="8"/>
  <c r="J626" i="8"/>
  <c r="F626" i="8"/>
  <c r="G626" i="8" s="1"/>
  <c r="F628" i="8" s="1"/>
  <c r="G628" i="8" s="1"/>
  <c r="J625" i="8"/>
  <c r="J624" i="8"/>
  <c r="J623" i="8"/>
  <c r="F623" i="8"/>
  <c r="G623" i="8" s="1"/>
  <c r="F625" i="8" s="1"/>
  <c r="G625" i="8" s="1"/>
  <c r="J622" i="8"/>
  <c r="J621" i="8"/>
  <c r="J620" i="8"/>
  <c r="F620" i="8"/>
  <c r="G620" i="8" s="1"/>
  <c r="F622" i="8" s="1"/>
  <c r="G622" i="8" s="1"/>
  <c r="J619" i="8"/>
  <c r="J618" i="8"/>
  <c r="J617" i="8"/>
  <c r="F617" i="8"/>
  <c r="G617" i="8" s="1"/>
  <c r="J607" i="8"/>
  <c r="J606" i="8"/>
  <c r="J605" i="8"/>
  <c r="G605" i="8"/>
  <c r="F607" i="8" s="1"/>
  <c r="G607" i="8" s="1"/>
  <c r="J604" i="8"/>
  <c r="G604" i="8"/>
  <c r="J603" i="8"/>
  <c r="G603" i="8"/>
  <c r="J602" i="8"/>
  <c r="G602" i="8"/>
  <c r="J601" i="8"/>
  <c r="J600" i="8"/>
  <c r="J599" i="8"/>
  <c r="G599" i="8"/>
  <c r="F601" i="8" s="1"/>
  <c r="G601" i="8" s="1"/>
  <c r="J598" i="8"/>
  <c r="J597" i="8"/>
  <c r="J596" i="8"/>
  <c r="F596" i="8"/>
  <c r="G596" i="8" s="1"/>
  <c r="J595" i="8"/>
  <c r="J594" i="8"/>
  <c r="J593" i="8"/>
  <c r="F593" i="8"/>
  <c r="G593" i="8" s="1"/>
  <c r="J592" i="8"/>
  <c r="J591" i="8"/>
  <c r="J590" i="8"/>
  <c r="F590" i="8"/>
  <c r="G590" i="8" s="1"/>
  <c r="J589" i="8"/>
  <c r="J588" i="8"/>
  <c r="J587" i="8"/>
  <c r="F587" i="8"/>
  <c r="G587" i="8" s="1"/>
  <c r="J586" i="8"/>
  <c r="J585" i="8"/>
  <c r="J584" i="8"/>
  <c r="F584" i="8"/>
  <c r="G584" i="8" s="1"/>
  <c r="J583" i="8"/>
  <c r="J582" i="8"/>
  <c r="J581" i="8"/>
  <c r="F581" i="8"/>
  <c r="G581" i="8" s="1"/>
  <c r="J580" i="8"/>
  <c r="J579" i="8"/>
  <c r="J578" i="8"/>
  <c r="F578" i="8"/>
  <c r="G578" i="8" s="1"/>
  <c r="J577" i="8"/>
  <c r="J576" i="8"/>
  <c r="J575" i="8"/>
  <c r="F575" i="8"/>
  <c r="G575" i="8" s="1"/>
  <c r="J574" i="8"/>
  <c r="J573" i="8"/>
  <c r="J572" i="8"/>
  <c r="F572" i="8"/>
  <c r="G572" i="8" s="1"/>
  <c r="F574" i="8" s="1"/>
  <c r="G574" i="8" s="1"/>
  <c r="J571" i="8"/>
  <c r="J570" i="8"/>
  <c r="J569" i="8"/>
  <c r="F569" i="8"/>
  <c r="G569" i="8" s="1"/>
  <c r="F571" i="8" s="1"/>
  <c r="G571" i="8" s="1"/>
  <c r="J568" i="8"/>
  <c r="J567" i="8"/>
  <c r="J566" i="8"/>
  <c r="F566" i="8"/>
  <c r="G566" i="8" s="1"/>
  <c r="F568" i="8" s="1"/>
  <c r="G568" i="8" s="1"/>
  <c r="J565" i="8"/>
  <c r="J564" i="8"/>
  <c r="J563" i="8"/>
  <c r="F563" i="8"/>
  <c r="G563" i="8" s="1"/>
  <c r="F565" i="8" s="1"/>
  <c r="G565" i="8" s="1"/>
  <c r="J562" i="8"/>
  <c r="J561" i="8"/>
  <c r="J560" i="8"/>
  <c r="F560" i="8"/>
  <c r="G560" i="8" s="1"/>
  <c r="F562" i="8" s="1"/>
  <c r="G562" i="8" s="1"/>
  <c r="J559" i="8"/>
  <c r="J558" i="8"/>
  <c r="J557" i="8"/>
  <c r="F557" i="8"/>
  <c r="G557" i="8" s="1"/>
  <c r="F559" i="8" s="1"/>
  <c r="G559" i="8" s="1"/>
  <c r="J547" i="8"/>
  <c r="J546" i="8"/>
  <c r="J545" i="8"/>
  <c r="G545" i="8"/>
  <c r="F546" i="8" s="1"/>
  <c r="G546" i="8" s="1"/>
  <c r="J544" i="8"/>
  <c r="G544" i="8"/>
  <c r="J543" i="8"/>
  <c r="G543" i="8"/>
  <c r="J542" i="8"/>
  <c r="G542" i="8"/>
  <c r="J541" i="8"/>
  <c r="J540" i="8"/>
  <c r="J539" i="8"/>
  <c r="G539" i="8"/>
  <c r="F541" i="8" s="1"/>
  <c r="G541" i="8" s="1"/>
  <c r="J538" i="8"/>
  <c r="J537" i="8"/>
  <c r="J536" i="8"/>
  <c r="F536" i="8"/>
  <c r="G536" i="8" s="1"/>
  <c r="F538" i="8" s="1"/>
  <c r="G538" i="8" s="1"/>
  <c r="J535" i="8"/>
  <c r="J534" i="8"/>
  <c r="J533" i="8"/>
  <c r="F533" i="8"/>
  <c r="G533" i="8" s="1"/>
  <c r="F535" i="8" s="1"/>
  <c r="G535" i="8" s="1"/>
  <c r="J532" i="8"/>
  <c r="J531" i="8"/>
  <c r="J530" i="8"/>
  <c r="F530" i="8"/>
  <c r="G530" i="8" s="1"/>
  <c r="F532" i="8" s="1"/>
  <c r="G532" i="8" s="1"/>
  <c r="J529" i="8"/>
  <c r="J528" i="8"/>
  <c r="J527" i="8"/>
  <c r="F527" i="8"/>
  <c r="G527" i="8" s="1"/>
  <c r="F529" i="8" s="1"/>
  <c r="G529" i="8" s="1"/>
  <c r="J526" i="8"/>
  <c r="J525" i="8"/>
  <c r="J524" i="8"/>
  <c r="F524" i="8"/>
  <c r="G524" i="8" s="1"/>
  <c r="F526" i="8" s="1"/>
  <c r="G526" i="8" s="1"/>
  <c r="J523" i="8"/>
  <c r="J522" i="8"/>
  <c r="J521" i="8"/>
  <c r="F521" i="8"/>
  <c r="G521" i="8" s="1"/>
  <c r="F523" i="8" s="1"/>
  <c r="G523" i="8" s="1"/>
  <c r="J520" i="8"/>
  <c r="J519" i="8"/>
  <c r="J518" i="8"/>
  <c r="F518" i="8"/>
  <c r="G518" i="8" s="1"/>
  <c r="F520" i="8" s="1"/>
  <c r="G520" i="8" s="1"/>
  <c r="J517" i="8"/>
  <c r="J516" i="8"/>
  <c r="J515" i="8"/>
  <c r="F515" i="8"/>
  <c r="G515" i="8" s="1"/>
  <c r="F517" i="8" s="1"/>
  <c r="G517" i="8" s="1"/>
  <c r="J514" i="8"/>
  <c r="J513" i="8"/>
  <c r="J512" i="8"/>
  <c r="F512" i="8"/>
  <c r="G512" i="8" s="1"/>
  <c r="F514" i="8" s="1"/>
  <c r="G514" i="8" s="1"/>
  <c r="J511" i="8"/>
  <c r="J510" i="8"/>
  <c r="J509" i="8"/>
  <c r="F509" i="8"/>
  <c r="G509" i="8" s="1"/>
  <c r="F511" i="8" s="1"/>
  <c r="G511" i="8" s="1"/>
  <c r="J508" i="8"/>
  <c r="J507" i="8"/>
  <c r="J506" i="8"/>
  <c r="F506" i="8"/>
  <c r="G506" i="8" s="1"/>
  <c r="F508" i="8" s="1"/>
  <c r="G508" i="8" s="1"/>
  <c r="J505" i="8"/>
  <c r="J504" i="8"/>
  <c r="J503" i="8"/>
  <c r="F503" i="8"/>
  <c r="G503" i="8" s="1"/>
  <c r="F505" i="8" s="1"/>
  <c r="G505" i="8" s="1"/>
  <c r="J502" i="8"/>
  <c r="J501" i="8"/>
  <c r="J500" i="8"/>
  <c r="F500" i="8"/>
  <c r="G500" i="8" s="1"/>
  <c r="F502" i="8" s="1"/>
  <c r="G502" i="8" s="1"/>
  <c r="J499" i="8"/>
  <c r="J498" i="8"/>
  <c r="J497" i="8"/>
  <c r="F497" i="8"/>
  <c r="G497" i="8" s="1"/>
  <c r="F499" i="8" s="1"/>
  <c r="G499" i="8" s="1"/>
  <c r="J487" i="8"/>
  <c r="J486" i="8"/>
  <c r="J485" i="8"/>
  <c r="G485" i="8"/>
  <c r="F486" i="8" s="1"/>
  <c r="G486" i="8" s="1"/>
  <c r="J484" i="8"/>
  <c r="G484" i="8"/>
  <c r="J483" i="8"/>
  <c r="G483" i="8"/>
  <c r="J482" i="8"/>
  <c r="G482" i="8"/>
  <c r="J481" i="8"/>
  <c r="J480" i="8"/>
  <c r="J479" i="8"/>
  <c r="G479" i="8"/>
  <c r="F480" i="8" s="1"/>
  <c r="G480" i="8" s="1"/>
  <c r="J478" i="8"/>
  <c r="J477" i="8"/>
  <c r="J476" i="8"/>
  <c r="F476" i="8"/>
  <c r="G476" i="8" s="1"/>
  <c r="J475" i="8"/>
  <c r="J474" i="8"/>
  <c r="J473" i="8"/>
  <c r="F473" i="8"/>
  <c r="G473" i="8" s="1"/>
  <c r="J472" i="8"/>
  <c r="J471" i="8"/>
  <c r="J470" i="8"/>
  <c r="F470" i="8"/>
  <c r="G470" i="8" s="1"/>
  <c r="J469" i="8"/>
  <c r="J468" i="8"/>
  <c r="J467" i="8"/>
  <c r="F467" i="8"/>
  <c r="G467" i="8" s="1"/>
  <c r="J466" i="8"/>
  <c r="J465" i="8"/>
  <c r="J464" i="8"/>
  <c r="F464" i="8"/>
  <c r="G464" i="8" s="1"/>
  <c r="J463" i="8"/>
  <c r="J462" i="8"/>
  <c r="J461" i="8"/>
  <c r="F461" i="8"/>
  <c r="G461" i="8" s="1"/>
  <c r="J460" i="8"/>
  <c r="J459" i="8"/>
  <c r="J458" i="8"/>
  <c r="F458" i="8"/>
  <c r="G458" i="8" s="1"/>
  <c r="J457" i="8"/>
  <c r="J456" i="8"/>
  <c r="J455" i="8"/>
  <c r="F455" i="8"/>
  <c r="G455" i="8" s="1"/>
  <c r="J454" i="8"/>
  <c r="J453" i="8"/>
  <c r="J452" i="8"/>
  <c r="F452" i="8"/>
  <c r="G452" i="8" s="1"/>
  <c r="J451" i="8"/>
  <c r="J450" i="8"/>
  <c r="J449" i="8"/>
  <c r="F449" i="8"/>
  <c r="G449" i="8" s="1"/>
  <c r="J448" i="8"/>
  <c r="J447" i="8"/>
  <c r="J446" i="8"/>
  <c r="F446" i="8"/>
  <c r="G446" i="8" s="1"/>
  <c r="J445" i="8"/>
  <c r="J444" i="8"/>
  <c r="J443" i="8"/>
  <c r="F443" i="8"/>
  <c r="G443" i="8" s="1"/>
  <c r="J442" i="8"/>
  <c r="J441" i="8"/>
  <c r="J440" i="8"/>
  <c r="F440" i="8"/>
  <c r="G440" i="8" s="1"/>
  <c r="J439" i="8"/>
  <c r="J438" i="8"/>
  <c r="J437" i="8"/>
  <c r="F437" i="8"/>
  <c r="G437" i="8" s="1"/>
  <c r="J427" i="8"/>
  <c r="J426" i="8"/>
  <c r="J425" i="8"/>
  <c r="G425" i="8"/>
  <c r="F427" i="8" s="1"/>
  <c r="G427" i="8" s="1"/>
  <c r="J424" i="8"/>
  <c r="G424" i="8"/>
  <c r="J423" i="8"/>
  <c r="G423" i="8"/>
  <c r="J422" i="8"/>
  <c r="G422" i="8"/>
  <c r="J421" i="8"/>
  <c r="J420" i="8"/>
  <c r="J419" i="8"/>
  <c r="G419" i="8"/>
  <c r="F421" i="8" s="1"/>
  <c r="G421" i="8" s="1"/>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F401" i="8"/>
  <c r="G401" i="8" s="1"/>
  <c r="J400" i="8"/>
  <c r="J399" i="8"/>
  <c r="J398" i="8"/>
  <c r="F398" i="8"/>
  <c r="G398" i="8" s="1"/>
  <c r="J397" i="8"/>
  <c r="J396" i="8"/>
  <c r="J395" i="8"/>
  <c r="F395" i="8"/>
  <c r="G395"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J367" i="8"/>
  <c r="J366" i="8"/>
  <c r="J365" i="8"/>
  <c r="G365" i="8"/>
  <c r="F366" i="8" s="1"/>
  <c r="G366" i="8" s="1"/>
  <c r="J364" i="8"/>
  <c r="G364" i="8"/>
  <c r="J363" i="8"/>
  <c r="G363" i="8"/>
  <c r="J362" i="8"/>
  <c r="G362" i="8"/>
  <c r="J361" i="8"/>
  <c r="J360" i="8"/>
  <c r="J359" i="8"/>
  <c r="G359" i="8"/>
  <c r="F360" i="8" s="1"/>
  <c r="G360" i="8" s="1"/>
  <c r="J358" i="8"/>
  <c r="J357" i="8"/>
  <c r="J356" i="8"/>
  <c r="F356" i="8"/>
  <c r="G356" i="8" s="1"/>
  <c r="J355" i="8"/>
  <c r="J354" i="8"/>
  <c r="J353" i="8"/>
  <c r="F353" i="8"/>
  <c r="G353" i="8" s="1"/>
  <c r="J352" i="8"/>
  <c r="J351" i="8"/>
  <c r="J350" i="8"/>
  <c r="F350" i="8"/>
  <c r="G350" i="8" s="1"/>
  <c r="J349" i="8"/>
  <c r="J348" i="8"/>
  <c r="J347" i="8"/>
  <c r="F347" i="8"/>
  <c r="G347" i="8" s="1"/>
  <c r="J346" i="8"/>
  <c r="J345" i="8"/>
  <c r="J344" i="8"/>
  <c r="F344" i="8"/>
  <c r="G344" i="8" s="1"/>
  <c r="J343" i="8"/>
  <c r="J342" i="8"/>
  <c r="J341" i="8"/>
  <c r="F341" i="8"/>
  <c r="G341" i="8" s="1"/>
  <c r="J340" i="8"/>
  <c r="J339" i="8"/>
  <c r="J338" i="8"/>
  <c r="F338" i="8"/>
  <c r="G338" i="8" s="1"/>
  <c r="J337" i="8"/>
  <c r="J336" i="8"/>
  <c r="J335" i="8"/>
  <c r="F335" i="8"/>
  <c r="G335" i="8" s="1"/>
  <c r="J334" i="8"/>
  <c r="J333" i="8"/>
  <c r="J332" i="8"/>
  <c r="F332" i="8"/>
  <c r="G332" i="8" s="1"/>
  <c r="J331" i="8"/>
  <c r="J330" i="8"/>
  <c r="J329" i="8"/>
  <c r="F329" i="8"/>
  <c r="G329" i="8" s="1"/>
  <c r="J328" i="8"/>
  <c r="J327" i="8"/>
  <c r="J326" i="8"/>
  <c r="F326" i="8"/>
  <c r="G326" i="8" s="1"/>
  <c r="J325" i="8"/>
  <c r="J324" i="8"/>
  <c r="J323" i="8"/>
  <c r="F323" i="8"/>
  <c r="G323" i="8" s="1"/>
  <c r="J322" i="8"/>
  <c r="J321" i="8"/>
  <c r="J320" i="8"/>
  <c r="F320" i="8"/>
  <c r="G320" i="8" s="1"/>
  <c r="J319" i="8"/>
  <c r="J318" i="8"/>
  <c r="J317" i="8"/>
  <c r="F317" i="8"/>
  <c r="G317" i="8" s="1"/>
  <c r="J307" i="8"/>
  <c r="J306" i="8"/>
  <c r="J305" i="8"/>
  <c r="G305" i="8"/>
  <c r="F307" i="8" s="1"/>
  <c r="G307" i="8" s="1"/>
  <c r="J304" i="8"/>
  <c r="G304" i="8"/>
  <c r="J303" i="8"/>
  <c r="G303" i="8"/>
  <c r="J302" i="8"/>
  <c r="G302" i="8"/>
  <c r="J301" i="8"/>
  <c r="J300" i="8"/>
  <c r="J299" i="8"/>
  <c r="G299" i="8"/>
  <c r="F301" i="8" s="1"/>
  <c r="G301" i="8" s="1"/>
  <c r="J298" i="8"/>
  <c r="J297" i="8"/>
  <c r="J296" i="8"/>
  <c r="F296" i="8"/>
  <c r="G296" i="8" s="1"/>
  <c r="J295" i="8"/>
  <c r="J294" i="8"/>
  <c r="J293" i="8"/>
  <c r="F293" i="8"/>
  <c r="G293" i="8" s="1"/>
  <c r="J292" i="8"/>
  <c r="J291" i="8"/>
  <c r="J290" i="8"/>
  <c r="F290" i="8"/>
  <c r="G290" i="8" s="1"/>
  <c r="J289" i="8"/>
  <c r="J288" i="8"/>
  <c r="J287" i="8"/>
  <c r="F287" i="8"/>
  <c r="G287" i="8" s="1"/>
  <c r="J286" i="8"/>
  <c r="J285" i="8"/>
  <c r="J284" i="8"/>
  <c r="F284" i="8"/>
  <c r="G284" i="8" s="1"/>
  <c r="J283" i="8"/>
  <c r="J282" i="8"/>
  <c r="J281" i="8"/>
  <c r="F281" i="8"/>
  <c r="G281" i="8" s="1"/>
  <c r="J280" i="8"/>
  <c r="J279" i="8"/>
  <c r="J278" i="8"/>
  <c r="F278" i="8"/>
  <c r="G278" i="8" s="1"/>
  <c r="J277" i="8"/>
  <c r="J276" i="8"/>
  <c r="J275" i="8"/>
  <c r="F275" i="8"/>
  <c r="G275" i="8" s="1"/>
  <c r="J274" i="8"/>
  <c r="J273" i="8"/>
  <c r="J272" i="8"/>
  <c r="F272" i="8"/>
  <c r="G272" i="8" s="1"/>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F202" i="8" s="1"/>
  <c r="G202" i="8" s="1"/>
  <c r="J199" i="8"/>
  <c r="J198" i="8"/>
  <c r="J197" i="8"/>
  <c r="F197" i="8"/>
  <c r="G197" i="8" s="1"/>
  <c r="J187" i="8"/>
  <c r="J186" i="8"/>
  <c r="J185" i="8"/>
  <c r="G185" i="8"/>
  <c r="J127" i="8"/>
  <c r="J126" i="8"/>
  <c r="J125" i="8"/>
  <c r="G125" i="8"/>
  <c r="K244" i="7"/>
  <c r="K243" i="7"/>
  <c r="K242" i="7"/>
  <c r="K241" i="7"/>
  <c r="K240" i="7"/>
  <c r="K239" i="7"/>
  <c r="K238" i="7"/>
  <c r="K237" i="7"/>
  <c r="K236" i="7"/>
  <c r="K225" i="7"/>
  <c r="K224" i="7"/>
  <c r="K223" i="7"/>
  <c r="K222" i="7"/>
  <c r="K221" i="7"/>
  <c r="K220" i="7"/>
  <c r="K219" i="7"/>
  <c r="K218" i="7"/>
  <c r="K217" i="7"/>
  <c r="K206" i="7"/>
  <c r="K205" i="7"/>
  <c r="K204" i="7"/>
  <c r="K203" i="7"/>
  <c r="K202" i="7"/>
  <c r="K201" i="7"/>
  <c r="K200" i="7"/>
  <c r="K199" i="7"/>
  <c r="K198" i="7"/>
  <c r="K187" i="7"/>
  <c r="K186" i="7"/>
  <c r="K185" i="7"/>
  <c r="K184" i="7"/>
  <c r="K183" i="7"/>
  <c r="K182" i="7"/>
  <c r="K181" i="7"/>
  <c r="K180" i="7"/>
  <c r="K179" i="7"/>
  <c r="K168" i="7"/>
  <c r="K167" i="7"/>
  <c r="K166" i="7"/>
  <c r="K165" i="7"/>
  <c r="K164" i="7"/>
  <c r="K163" i="7"/>
  <c r="K162" i="7"/>
  <c r="K161" i="7"/>
  <c r="K160" i="7"/>
  <c r="K149" i="7"/>
  <c r="K148" i="7"/>
  <c r="K147" i="7"/>
  <c r="K146" i="7"/>
  <c r="K145" i="7"/>
  <c r="K144" i="7"/>
  <c r="K143" i="7"/>
  <c r="K142" i="7"/>
  <c r="K141" i="7"/>
  <c r="K130" i="7"/>
  <c r="K129" i="7"/>
  <c r="K128" i="7"/>
  <c r="K127" i="7"/>
  <c r="K126" i="7"/>
  <c r="K125" i="7"/>
  <c r="K124" i="7"/>
  <c r="K123" i="7"/>
  <c r="K122" i="7"/>
  <c r="K111" i="7"/>
  <c r="K110" i="7"/>
  <c r="K109" i="7"/>
  <c r="K108" i="7"/>
  <c r="K107" i="7"/>
  <c r="K106" i="7"/>
  <c r="K105" i="7"/>
  <c r="K104" i="7"/>
  <c r="K103" i="7"/>
  <c r="K92" i="7"/>
  <c r="K91" i="7"/>
  <c r="K90" i="7"/>
  <c r="K89" i="7"/>
  <c r="K88" i="7"/>
  <c r="K87" i="7"/>
  <c r="K86" i="7"/>
  <c r="K85" i="7"/>
  <c r="K84" i="7"/>
  <c r="K73" i="7"/>
  <c r="K72" i="7"/>
  <c r="K71" i="7"/>
  <c r="K70" i="7"/>
  <c r="K69" i="7"/>
  <c r="K68" i="7"/>
  <c r="K66" i="7"/>
  <c r="K65" i="7"/>
  <c r="K67" i="7"/>
  <c r="K54" i="7"/>
  <c r="K53" i="7"/>
  <c r="K52" i="7"/>
  <c r="K51" i="7"/>
  <c r="K50" i="7"/>
  <c r="K49" i="7"/>
  <c r="K48" i="7"/>
  <c r="K47" i="7"/>
  <c r="K46" i="7"/>
  <c r="J244" i="7"/>
  <c r="F244" i="7"/>
  <c r="G244" i="7" s="1"/>
  <c r="J243" i="7"/>
  <c r="G243" i="7"/>
  <c r="J242" i="7"/>
  <c r="E242" i="7"/>
  <c r="G242" i="7" s="1"/>
  <c r="J241" i="7"/>
  <c r="E241" i="7"/>
  <c r="G241" i="7" s="1"/>
  <c r="J240" i="7"/>
  <c r="E240" i="7"/>
  <c r="G240" i="7" s="1"/>
  <c r="J239" i="7"/>
  <c r="G239" i="7"/>
  <c r="J238" i="7"/>
  <c r="G238" i="7"/>
  <c r="J237" i="7"/>
  <c r="E237" i="7"/>
  <c r="G237" i="7" s="1"/>
  <c r="J236" i="7"/>
  <c r="E236" i="7"/>
  <c r="G236" i="7" s="1"/>
  <c r="J235" i="7"/>
  <c r="G235" i="7"/>
  <c r="J225" i="7"/>
  <c r="F225" i="7"/>
  <c r="G225" i="7" s="1"/>
  <c r="J224" i="7"/>
  <c r="G224" i="7"/>
  <c r="J223" i="7"/>
  <c r="E223" i="7"/>
  <c r="G223" i="7" s="1"/>
  <c r="J222" i="7"/>
  <c r="E222" i="7"/>
  <c r="G222" i="7" s="1"/>
  <c r="J221" i="7"/>
  <c r="E221" i="7"/>
  <c r="G221" i="7" s="1"/>
  <c r="J220" i="7"/>
  <c r="G220" i="7"/>
  <c r="J219" i="7"/>
  <c r="G219" i="7"/>
  <c r="J218" i="7"/>
  <c r="E218" i="7"/>
  <c r="G218" i="7" s="1"/>
  <c r="J217" i="7"/>
  <c r="E217" i="7"/>
  <c r="G217" i="7" s="1"/>
  <c r="J216" i="7"/>
  <c r="G216" i="7"/>
  <c r="J206" i="7"/>
  <c r="F206" i="7"/>
  <c r="G206" i="7" s="1"/>
  <c r="J205" i="7"/>
  <c r="G205" i="7"/>
  <c r="J204" i="7"/>
  <c r="E204" i="7"/>
  <c r="G204" i="7" s="1"/>
  <c r="J203" i="7"/>
  <c r="E203" i="7"/>
  <c r="G203" i="7" s="1"/>
  <c r="J202" i="7"/>
  <c r="E202" i="7"/>
  <c r="G202" i="7" s="1"/>
  <c r="J201" i="7"/>
  <c r="G201" i="7"/>
  <c r="J200" i="7"/>
  <c r="G200" i="7"/>
  <c r="J199" i="7"/>
  <c r="E199" i="7"/>
  <c r="G199" i="7" s="1"/>
  <c r="J198" i="7"/>
  <c r="E198" i="7"/>
  <c r="G198" i="7" s="1"/>
  <c r="J197" i="7"/>
  <c r="G197" i="7"/>
  <c r="J187" i="7"/>
  <c r="F187" i="7"/>
  <c r="G187" i="7" s="1"/>
  <c r="J186" i="7"/>
  <c r="G186" i="7"/>
  <c r="J185" i="7"/>
  <c r="E185" i="7"/>
  <c r="G185" i="7" s="1"/>
  <c r="J184" i="7"/>
  <c r="E184" i="7"/>
  <c r="G184" i="7" s="1"/>
  <c r="J183" i="7"/>
  <c r="E183" i="7"/>
  <c r="G183" i="7" s="1"/>
  <c r="J182" i="7"/>
  <c r="G182" i="7"/>
  <c r="J181" i="7"/>
  <c r="G181" i="7"/>
  <c r="J180" i="7"/>
  <c r="E180" i="7"/>
  <c r="G180" i="7" s="1"/>
  <c r="J179" i="7"/>
  <c r="E179" i="7"/>
  <c r="G179" i="7" s="1"/>
  <c r="J178" i="7"/>
  <c r="G178" i="7"/>
  <c r="J168" i="7"/>
  <c r="F168" i="7"/>
  <c r="G168" i="7" s="1"/>
  <c r="J167" i="7"/>
  <c r="G167" i="7"/>
  <c r="J166" i="7"/>
  <c r="E166" i="7"/>
  <c r="G166" i="7" s="1"/>
  <c r="J165" i="7"/>
  <c r="E165" i="7"/>
  <c r="G165" i="7" s="1"/>
  <c r="J164" i="7"/>
  <c r="E164" i="7"/>
  <c r="G164" i="7" s="1"/>
  <c r="J163" i="7"/>
  <c r="G163" i="7"/>
  <c r="J162" i="7"/>
  <c r="G162" i="7"/>
  <c r="J161" i="7"/>
  <c r="E161" i="7"/>
  <c r="G161" i="7" s="1"/>
  <c r="J160" i="7"/>
  <c r="E160" i="7"/>
  <c r="G160" i="7" s="1"/>
  <c r="J159" i="7"/>
  <c r="G159" i="7"/>
  <c r="J149" i="7"/>
  <c r="F149" i="7"/>
  <c r="G149" i="7" s="1"/>
  <c r="J148" i="7"/>
  <c r="G148" i="7"/>
  <c r="J147" i="7"/>
  <c r="E147" i="7"/>
  <c r="G147" i="7" s="1"/>
  <c r="J146" i="7"/>
  <c r="E146" i="7"/>
  <c r="G146" i="7" s="1"/>
  <c r="J145" i="7"/>
  <c r="E145" i="7"/>
  <c r="G145" i="7" s="1"/>
  <c r="J144" i="7"/>
  <c r="G144" i="7"/>
  <c r="J143" i="7"/>
  <c r="G143" i="7"/>
  <c r="J142" i="7"/>
  <c r="E142" i="7"/>
  <c r="G142" i="7" s="1"/>
  <c r="J141" i="7"/>
  <c r="E141" i="7"/>
  <c r="G141" i="7" s="1"/>
  <c r="J140" i="7"/>
  <c r="G140" i="7"/>
  <c r="J130" i="7"/>
  <c r="F130" i="7"/>
  <c r="G130" i="7" s="1"/>
  <c r="J129" i="7"/>
  <c r="G129" i="7"/>
  <c r="J128" i="7"/>
  <c r="E128" i="7"/>
  <c r="G128" i="7" s="1"/>
  <c r="J127" i="7"/>
  <c r="E127" i="7"/>
  <c r="G127" i="7" s="1"/>
  <c r="J126" i="7"/>
  <c r="E126" i="7"/>
  <c r="G126" i="7" s="1"/>
  <c r="J125" i="7"/>
  <c r="G125" i="7"/>
  <c r="J124" i="7"/>
  <c r="G124" i="7"/>
  <c r="J123" i="7"/>
  <c r="E123" i="7"/>
  <c r="G123" i="7" s="1"/>
  <c r="J122" i="7"/>
  <c r="E122" i="7"/>
  <c r="G122" i="7" s="1"/>
  <c r="J121" i="7"/>
  <c r="G121" i="7"/>
  <c r="J111" i="7"/>
  <c r="F111" i="7"/>
  <c r="G111" i="7" s="1"/>
  <c r="J110" i="7"/>
  <c r="G110" i="7"/>
  <c r="J109" i="7"/>
  <c r="E109" i="7"/>
  <c r="G109" i="7" s="1"/>
  <c r="J108" i="7"/>
  <c r="E108" i="7"/>
  <c r="G108" i="7" s="1"/>
  <c r="J107" i="7"/>
  <c r="E107" i="7"/>
  <c r="G107" i="7" s="1"/>
  <c r="J106" i="7"/>
  <c r="G106" i="7"/>
  <c r="J105" i="7"/>
  <c r="G105" i="7"/>
  <c r="J104" i="7"/>
  <c r="E104" i="7"/>
  <c r="G104" i="7" s="1"/>
  <c r="J103" i="7"/>
  <c r="E103" i="7"/>
  <c r="G103" i="7" s="1"/>
  <c r="J102" i="7"/>
  <c r="G102" i="7"/>
  <c r="J92" i="7"/>
  <c r="F92" i="7"/>
  <c r="G92" i="7" s="1"/>
  <c r="J91" i="7"/>
  <c r="G91" i="7"/>
  <c r="J90" i="7"/>
  <c r="E90" i="7"/>
  <c r="G90" i="7" s="1"/>
  <c r="J89" i="7"/>
  <c r="E89" i="7"/>
  <c r="G89" i="7" s="1"/>
  <c r="J88" i="7"/>
  <c r="E88" i="7"/>
  <c r="G88" i="7" s="1"/>
  <c r="J87" i="7"/>
  <c r="G87" i="7"/>
  <c r="J86" i="7"/>
  <c r="G86" i="7"/>
  <c r="J85" i="7"/>
  <c r="E85" i="7"/>
  <c r="G85" i="7" s="1"/>
  <c r="J84" i="7"/>
  <c r="E84" i="7"/>
  <c r="G84" i="7" s="1"/>
  <c r="J83" i="7"/>
  <c r="G83" i="7"/>
  <c r="J73" i="7"/>
  <c r="F73" i="7"/>
  <c r="G73" i="7" s="1"/>
  <c r="J72" i="7"/>
  <c r="G72" i="7"/>
  <c r="J71" i="7"/>
  <c r="E71" i="7"/>
  <c r="G71" i="7" s="1"/>
  <c r="J70" i="7"/>
  <c r="E70" i="7"/>
  <c r="G70" i="7" s="1"/>
  <c r="J69" i="7"/>
  <c r="E69" i="7"/>
  <c r="G69" i="7" s="1"/>
  <c r="J68" i="7"/>
  <c r="G68" i="7"/>
  <c r="J67" i="7"/>
  <c r="G67" i="7"/>
  <c r="J66" i="7"/>
  <c r="E66" i="7"/>
  <c r="G66" i="7" s="1"/>
  <c r="J65" i="7"/>
  <c r="E65" i="7"/>
  <c r="G65" i="7" s="1"/>
  <c r="J64" i="7"/>
  <c r="G64" i="7"/>
  <c r="J54" i="7"/>
  <c r="F54" i="7"/>
  <c r="G54" i="7" s="1"/>
  <c r="J53" i="7"/>
  <c r="G53" i="7"/>
  <c r="J52" i="7"/>
  <c r="E52" i="7"/>
  <c r="G52" i="7" s="1"/>
  <c r="J51" i="7"/>
  <c r="E51" i="7"/>
  <c r="G51" i="7" s="1"/>
  <c r="J50" i="7"/>
  <c r="E50" i="7"/>
  <c r="G50" i="7" s="1"/>
  <c r="J49" i="7"/>
  <c r="G49" i="7"/>
  <c r="J48" i="7"/>
  <c r="G48" i="7"/>
  <c r="J47" i="7"/>
  <c r="E47" i="7"/>
  <c r="G47" i="7" s="1"/>
  <c r="J46" i="7"/>
  <c r="E46" i="7"/>
  <c r="G46" i="7" s="1"/>
  <c r="J45" i="7"/>
  <c r="G45" i="7"/>
  <c r="P60" i="43" l="1"/>
  <c r="Q61" i="43"/>
  <c r="P62" i="43"/>
  <c r="Q63" i="43"/>
  <c r="P64" i="43"/>
  <c r="Q65" i="43"/>
  <c r="P66" i="43"/>
  <c r="Q67" i="43"/>
  <c r="P68" i="43"/>
  <c r="Q69" i="43"/>
  <c r="P70" i="43"/>
  <c r="Q71" i="43"/>
  <c r="P72" i="43"/>
  <c r="Q73" i="43"/>
  <c r="P74" i="43"/>
  <c r="Q75" i="43"/>
  <c r="P76" i="43"/>
  <c r="Q77" i="43"/>
  <c r="P78" i="43"/>
  <c r="Q79" i="43"/>
  <c r="P80" i="43"/>
  <c r="Q81" i="43"/>
  <c r="P82" i="43"/>
  <c r="Q83" i="43"/>
  <c r="P84" i="43"/>
  <c r="Q85" i="43"/>
  <c r="P86" i="43"/>
  <c r="Q87" i="43"/>
  <c r="P88" i="43"/>
  <c r="Q89" i="43"/>
  <c r="P90" i="43"/>
  <c r="Q91" i="43"/>
  <c r="P92" i="43"/>
  <c r="D50" i="9"/>
  <c r="D126" i="9"/>
  <c r="L26" i="34"/>
  <c r="P26" i="34"/>
  <c r="F420" i="8"/>
  <c r="G420" i="8" s="1"/>
  <c r="D145" i="9"/>
  <c r="D202" i="9"/>
  <c r="D221" i="9"/>
  <c r="D96" i="43"/>
  <c r="D40" i="42"/>
  <c r="D160" i="42"/>
  <c r="D70" i="42"/>
  <c r="D41" i="40"/>
  <c r="D27" i="12"/>
  <c r="R8" i="45" s="1"/>
  <c r="D67" i="12"/>
  <c r="R11" i="45" s="1"/>
  <c r="L11" i="45" s="1"/>
  <c r="D113" i="12"/>
  <c r="L15" i="45" s="1"/>
  <c r="R15" i="45" s="1"/>
  <c r="D350" i="12"/>
  <c r="R18" i="34" s="1"/>
  <c r="D438" i="12"/>
  <c r="R21" i="34" s="1"/>
  <c r="D702" i="12"/>
  <c r="D218" i="12"/>
  <c r="R12" i="34" s="1"/>
  <c r="D570" i="12"/>
  <c r="D658" i="12"/>
  <c r="D183" i="9"/>
  <c r="D107" i="9"/>
  <c r="D164" i="9"/>
  <c r="F306" i="8"/>
  <c r="G306" i="8" s="1"/>
  <c r="F186" i="8"/>
  <c r="G186" i="8" s="1"/>
  <c r="F300" i="8"/>
  <c r="G300" i="8" s="1"/>
  <c r="F426" i="8"/>
  <c r="G426" i="8" s="1"/>
  <c r="F127" i="8"/>
  <c r="G127" i="8" s="1"/>
  <c r="D70" i="8" s="1"/>
  <c r="F241" i="8"/>
  <c r="G241" i="8" s="1"/>
  <c r="F247" i="8"/>
  <c r="G247" i="8" s="1"/>
  <c r="F361" i="8"/>
  <c r="G361" i="8" s="1"/>
  <c r="F367" i="8"/>
  <c r="G367" i="8" s="1"/>
  <c r="F481" i="8"/>
  <c r="G481" i="8" s="1"/>
  <c r="F487" i="8"/>
  <c r="G487" i="8" s="1"/>
  <c r="F547" i="8"/>
  <c r="G547" i="8" s="1"/>
  <c r="F600" i="8"/>
  <c r="G600" i="8" s="1"/>
  <c r="F606" i="8"/>
  <c r="G606" i="8" s="1"/>
  <c r="F661" i="8"/>
  <c r="G661" i="8" s="1"/>
  <c r="F667" i="8"/>
  <c r="G667" i="8" s="1"/>
  <c r="F720" i="8"/>
  <c r="G720" i="8" s="1"/>
  <c r="F726" i="8"/>
  <c r="G726" i="8" s="1"/>
  <c r="F840" i="8"/>
  <c r="G840" i="8" s="1"/>
  <c r="F846" i="8"/>
  <c r="G846" i="8" s="1"/>
  <c r="F901" i="8"/>
  <c r="G901" i="8" s="1"/>
  <c r="F907" i="8"/>
  <c r="G907" i="8" s="1"/>
  <c r="F960" i="8"/>
  <c r="G960" i="8" s="1"/>
  <c r="F966" i="8"/>
  <c r="G966" i="8" s="1"/>
  <c r="F741" i="8"/>
  <c r="G741" i="8" s="1"/>
  <c r="F777" i="8"/>
  <c r="G777" i="8" s="1"/>
  <c r="F750" i="8"/>
  <c r="G750" i="8" s="1"/>
  <c r="D114" i="7"/>
  <c r="D38" i="10"/>
  <c r="D61" i="10"/>
  <c r="D153" i="10"/>
  <c r="D245" i="10"/>
  <c r="D268" i="10"/>
  <c r="D107" i="10"/>
  <c r="D199" i="10"/>
  <c r="F768" i="8"/>
  <c r="G768" i="8" s="1"/>
  <c r="F804" i="8"/>
  <c r="G804" i="8" s="1"/>
  <c r="F756" i="8"/>
  <c r="G756" i="8" s="1"/>
  <c r="F753" i="8"/>
  <c r="G753" i="8" s="1"/>
  <c r="F762" i="8"/>
  <c r="G762" i="8" s="1"/>
  <c r="F745" i="8"/>
  <c r="G745" i="8" s="1"/>
  <c r="F766" i="8"/>
  <c r="G766" i="8" s="1"/>
  <c r="F774" i="8"/>
  <c r="G774" i="8" s="1"/>
  <c r="D57" i="7"/>
  <c r="D38" i="7"/>
  <c r="D152" i="7"/>
  <c r="D171" i="7"/>
  <c r="D95" i="7"/>
  <c r="D209" i="7"/>
  <c r="D228"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482" i="12"/>
  <c r="R23" i="34" s="1"/>
  <c r="J23" i="34" s="1"/>
  <c r="D394" i="12"/>
  <c r="R20" i="34" s="1"/>
  <c r="N20" i="34" s="1"/>
  <c r="D87" i="12"/>
  <c r="R13" i="45" s="1"/>
  <c r="D129" i="12"/>
  <c r="D262" i="12"/>
  <c r="R13" i="34" s="1"/>
  <c r="D173" i="12"/>
  <c r="R11" i="34" s="1"/>
  <c r="D306" i="12"/>
  <c r="R17" i="34" s="1"/>
  <c r="D614" i="12"/>
  <c r="D222" i="10"/>
  <c r="D176" i="10"/>
  <c r="D130" i="10"/>
  <c r="D84"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99" i="8"/>
  <c r="G199" i="8" s="1"/>
  <c r="F198" i="8"/>
  <c r="G198"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D190" i="7"/>
  <c r="D133" i="7"/>
  <c r="D76" i="7"/>
  <c r="H36" i="46"/>
  <c r="I36" i="46"/>
  <c r="J36" i="46"/>
  <c r="K36" i="46"/>
  <c r="L36" i="46"/>
  <c r="M36" i="46"/>
  <c r="N36" i="46"/>
  <c r="O36" i="46"/>
  <c r="P36" i="46"/>
  <c r="Q36" i="46"/>
  <c r="I21" i="27" s="1"/>
  <c r="H47" i="21"/>
  <c r="I47" i="21"/>
  <c r="J47" i="21"/>
  <c r="K47" i="21"/>
  <c r="L47" i="21"/>
  <c r="M47" i="21"/>
  <c r="N47" i="21"/>
  <c r="O47" i="21"/>
  <c r="Q47" i="21"/>
  <c r="I5" i="27" s="1"/>
  <c r="P47" i="21"/>
  <c r="I74" i="22"/>
  <c r="J74" i="22"/>
  <c r="K74" i="22"/>
  <c r="L74" i="22"/>
  <c r="M74" i="22"/>
  <c r="N74" i="22"/>
  <c r="O74" i="22"/>
  <c r="P74" i="22"/>
  <c r="Q74" i="22"/>
  <c r="I6" i="27" s="1"/>
  <c r="H74" i="22"/>
  <c r="R19" i="34" l="1"/>
  <c r="L19" i="34" s="1"/>
  <c r="L13" i="34"/>
  <c r="L12" i="34"/>
  <c r="N21" i="34"/>
  <c r="L21" i="34"/>
  <c r="P11" i="34"/>
  <c r="L11" i="34"/>
  <c r="N11" i="34"/>
  <c r="J11" i="34"/>
  <c r="P13" i="45"/>
  <c r="N13" i="45"/>
  <c r="R10" i="45"/>
  <c r="P10" i="45" s="1"/>
  <c r="J8" i="45"/>
  <c r="N8" i="45"/>
  <c r="L8" i="45"/>
  <c r="D490" i="8"/>
  <c r="D250" i="8"/>
  <c r="D730" i="8"/>
  <c r="D130" i="8"/>
  <c r="D550" i="8"/>
  <c r="D910" i="8"/>
  <c r="D850" i="8"/>
  <c r="D790" i="8"/>
  <c r="D190" i="8"/>
  <c r="D430" i="8"/>
  <c r="D370" i="8"/>
  <c r="D670" i="8"/>
  <c r="D610" i="8"/>
  <c r="D310" i="8"/>
  <c r="R2" i="45" l="1"/>
  <c r="J36" i="42"/>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24" i="12"/>
  <c r="J23" i="12"/>
  <c r="J22" i="12"/>
  <c r="J21" i="12"/>
  <c r="J20" i="12"/>
  <c r="J19" i="12"/>
  <c r="J34" i="10"/>
  <c r="J31" i="10"/>
  <c r="J30" i="10"/>
  <c r="J29" i="10"/>
  <c r="J26" i="10"/>
  <c r="J25" i="10"/>
  <c r="J24" i="10"/>
  <c r="J23" i="10"/>
  <c r="J21" i="10"/>
  <c r="J20" i="10"/>
  <c r="J19" i="10"/>
  <c r="J18" i="10"/>
  <c r="Q43" i="48"/>
  <c r="I13" i="27" s="1"/>
  <c r="P43" i="48"/>
  <c r="O43" i="48"/>
  <c r="N43" i="48"/>
  <c r="M43" i="48"/>
  <c r="L43" i="48"/>
  <c r="K43" i="48"/>
  <c r="J43" i="48"/>
  <c r="I43" i="48"/>
  <c r="H43" i="48"/>
  <c r="Q21" i="47" l="1"/>
  <c r="I11" i="27" s="1"/>
  <c r="P21" i="47"/>
  <c r="O21" i="47"/>
  <c r="N21" i="47"/>
  <c r="M21" i="47"/>
  <c r="L21" i="47"/>
  <c r="K21" i="47"/>
  <c r="J21" i="47"/>
  <c r="I21" i="47"/>
  <c r="H21" i="47"/>
  <c r="D341" i="38"/>
  <c r="E341" i="38"/>
  <c r="AB341" i="38"/>
  <c r="AC341" i="38"/>
  <c r="AD341" i="38"/>
  <c r="AF341" i="38"/>
  <c r="AG341" i="38"/>
  <c r="AH341" i="38"/>
  <c r="AJ341" i="38"/>
  <c r="AK341" i="38"/>
  <c r="AL341" i="38"/>
  <c r="AN341" i="38"/>
  <c r="AO341" i="38"/>
  <c r="AP341" i="38"/>
  <c r="J17" i="7"/>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AM341" i="38" l="1"/>
  <c r="AQ341" i="38"/>
  <c r="AE341" i="38"/>
  <c r="AI341" i="38"/>
  <c r="F341" i="38"/>
  <c r="J341" i="38" s="1"/>
  <c r="P21" i="44"/>
  <c r="Q21" i="44"/>
  <c r="I19" i="27" s="1"/>
  <c r="P27" i="23"/>
  <c r="Q27" i="23"/>
  <c r="I9" i="27" s="1"/>
  <c r="P36" i="33"/>
  <c r="Q36" i="33"/>
  <c r="I12" i="27" s="1"/>
  <c r="P21" i="31"/>
  <c r="Q21" i="31"/>
  <c r="I20" i="27" s="1"/>
  <c r="P39" i="24"/>
  <c r="Q39" i="24"/>
  <c r="I18" i="27" s="1"/>
  <c r="P43" i="30"/>
  <c r="Q43" i="30"/>
  <c r="I8" i="27" s="1"/>
  <c r="P21" i="29"/>
  <c r="Q21" i="29"/>
  <c r="I7" i="27" s="1"/>
  <c r="P28" i="28"/>
  <c r="K246" i="8" l="1"/>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AR341" i="38"/>
  <c r="H341" i="38"/>
  <c r="J38" i="40"/>
  <c r="K304" i="8" l="1"/>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O39" i="24"/>
  <c r="N39" i="24"/>
  <c r="M39" i="24"/>
  <c r="L39" i="24"/>
  <c r="K39" i="24"/>
  <c r="J39" i="24"/>
  <c r="I39" i="24"/>
  <c r="H39" i="24"/>
  <c r="K366" i="8" l="1"/>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N385" i="38"/>
  <c r="AL385" i="38"/>
  <c r="AK385" i="38"/>
  <c r="AH385" i="38"/>
  <c r="AG385" i="38"/>
  <c r="AF385" i="38"/>
  <c r="AC385" i="38"/>
  <c r="AB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J357" i="38"/>
  <c r="AH357" i="38"/>
  <c r="AG357" i="38"/>
  <c r="AF357" i="38"/>
  <c r="AC357" i="38"/>
  <c r="AB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C350" i="38"/>
  <c r="E350" i="38"/>
  <c r="AP349" i="38"/>
  <c r="AO349" i="38"/>
  <c r="AN349" i="38"/>
  <c r="AL349" i="38"/>
  <c r="AK349" i="38"/>
  <c r="AJ349" i="38"/>
  <c r="AH349" i="38"/>
  <c r="AG349" i="38"/>
  <c r="AF349" i="38"/>
  <c r="AC349" i="38"/>
  <c r="AB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O366" i="38"/>
  <c r="AN366" i="38"/>
  <c r="AL366" i="38"/>
  <c r="AK366" i="38"/>
  <c r="AH366" i="38"/>
  <c r="AG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D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C322" i="38"/>
  <c r="E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N277" i="38"/>
  <c r="AL277" i="38"/>
  <c r="AK277" i="38"/>
  <c r="AJ277" i="38"/>
  <c r="AH277" i="38"/>
  <c r="AG277" i="38"/>
  <c r="AF277" i="38"/>
  <c r="AD277" i="38"/>
  <c r="AC277" i="38"/>
  <c r="AB277" i="38"/>
  <c r="E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B192" i="38"/>
  <c r="E192" i="38"/>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l="1"/>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J434" i="38" s="1"/>
  <c r="F438" i="38"/>
  <c r="H438" i="38" s="1"/>
  <c r="AI442" i="38"/>
  <c r="AQ444" i="38"/>
  <c r="F405" i="38"/>
  <c r="H405" i="38" s="1"/>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72" i="38"/>
  <c r="AM372" i="38"/>
  <c r="AI388" i="38"/>
  <c r="D383" i="38"/>
  <c r="AI385" i="38"/>
  <c r="AK383" i="38"/>
  <c r="AP383" i="38"/>
  <c r="F387" i="38"/>
  <c r="H387" i="38" s="1"/>
  <c r="AN383" i="38"/>
  <c r="AQ388" i="38"/>
  <c r="AM387" i="38"/>
  <c r="AE388" i="38"/>
  <c r="F388" i="38"/>
  <c r="J388" i="38" s="1"/>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AM358" i="38"/>
  <c r="AQ359" i="38"/>
  <c r="F361" i="38"/>
  <c r="J361" i="38" s="1"/>
  <c r="AE378" i="38"/>
  <c r="F347" i="38"/>
  <c r="J347" i="38" s="1"/>
  <c r="AI347" i="38"/>
  <c r="AM349" i="38"/>
  <c r="AM351" i="38"/>
  <c r="AI354" i="38"/>
  <c r="AM355" i="38"/>
  <c r="AQ356" i="38"/>
  <c r="AM376" i="38"/>
  <c r="AI349" i="38"/>
  <c r="AM353" i="38"/>
  <c r="AE361" i="38"/>
  <c r="AE364" i="38"/>
  <c r="AQ368" i="38"/>
  <c r="AI376" i="38"/>
  <c r="AQ347" i="38"/>
  <c r="AE351" i="38"/>
  <c r="AI353" i="38"/>
  <c r="F354" i="38"/>
  <c r="H354" i="38" s="1"/>
  <c r="AE354" i="38"/>
  <c r="AI355" i="38"/>
  <c r="AI358" i="38"/>
  <c r="AM359" i="38"/>
  <c r="AQ361" i="38"/>
  <c r="AM362" i="38"/>
  <c r="AI364" i="38"/>
  <c r="AQ365"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F359" i="38"/>
  <c r="H359" i="38" s="1"/>
  <c r="AI359" i="38"/>
  <c r="AM361" i="38"/>
  <c r="AI362" i="38"/>
  <c r="F382" i="38"/>
  <c r="J382" i="38" s="1"/>
  <c r="AM365" i="38"/>
  <c r="AQ369" i="38"/>
  <c r="AQ370" i="38"/>
  <c r="AE373" i="38"/>
  <c r="AE374" i="38"/>
  <c r="AI377" i="38"/>
  <c r="F378" i="38"/>
  <c r="J378" i="38" s="1"/>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H379"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F336" i="38"/>
  <c r="H336" i="38" s="1"/>
  <c r="AM337" i="38"/>
  <c r="F334" i="38"/>
  <c r="J334" i="38" s="1"/>
  <c r="AE337" i="38"/>
  <c r="AQ337" i="38"/>
  <c r="AE334" i="38"/>
  <c r="AI336"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F317" i="38"/>
  <c r="J317" i="38" s="1"/>
  <c r="AI317" i="38"/>
  <c r="AQ319" i="38"/>
  <c r="F316" i="38"/>
  <c r="J316" i="38" s="1"/>
  <c r="AI316" i="38"/>
  <c r="AQ318" i="38"/>
  <c r="F320" i="38"/>
  <c r="H320" i="38" s="1"/>
  <c r="AM321" i="38"/>
  <c r="F314" i="38"/>
  <c r="J314" i="38" s="1"/>
  <c r="AM319" i="38"/>
  <c r="AQ317" i="38"/>
  <c r="AE321" i="38"/>
  <c r="F322" i="38"/>
  <c r="J322" i="38" s="1"/>
  <c r="AQ322" i="38"/>
  <c r="AM323" i="38"/>
  <c r="AE314" i="38"/>
  <c r="F315" i="38"/>
  <c r="J315" i="38" s="1"/>
  <c r="AI315" i="38"/>
  <c r="AM316" i="38"/>
  <c r="AE318" i="38"/>
  <c r="AE319" i="38"/>
  <c r="F325" i="38"/>
  <c r="H325" i="38" s="1"/>
  <c r="F323" i="38"/>
  <c r="H323" i="38" s="1"/>
  <c r="AQ314" i="38"/>
  <c r="AM318" i="38"/>
  <c r="AI324" i="38"/>
  <c r="AI321" i="38"/>
  <c r="AI314" i="38"/>
  <c r="AM314" i="38"/>
  <c r="AM315" i="38"/>
  <c r="AQ316" i="38"/>
  <c r="AI318" i="38"/>
  <c r="F319" i="38"/>
  <c r="J319" i="38" s="1"/>
  <c r="AI319" i="38"/>
  <c r="AE325" i="38"/>
  <c r="AI320" i="38"/>
  <c r="AM322" i="38"/>
  <c r="AI323" i="38"/>
  <c r="F326" i="38"/>
  <c r="J326" i="38" s="1"/>
  <c r="AI326" i="38"/>
  <c r="AE320" i="38"/>
  <c r="F321" i="38"/>
  <c r="J321" i="38" s="1"/>
  <c r="AE323" i="38"/>
  <c r="F305" i="38"/>
  <c r="H305" i="38" s="1"/>
  <c r="F309" i="38"/>
  <c r="H309" i="38" s="1"/>
  <c r="F270" i="38"/>
  <c r="J270" i="38" s="1"/>
  <c r="F274" i="38"/>
  <c r="H274"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F299" i="38"/>
  <c r="J299" i="38" s="1"/>
  <c r="AE326" i="38"/>
  <c r="AI304" i="38"/>
  <c r="AI308" i="38"/>
  <c r="AQ270" i="38"/>
  <c r="AQ271" i="38"/>
  <c r="AQ275" i="38"/>
  <c r="AQ279" i="38"/>
  <c r="AQ283" i="38"/>
  <c r="AM286" i="38"/>
  <c r="AM287" i="38"/>
  <c r="AM289" i="38"/>
  <c r="AQ326" i="38"/>
  <c r="AE271" i="38"/>
  <c r="F272" i="38"/>
  <c r="H272" i="38" s="1"/>
  <c r="AE274" i="38"/>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AE270" i="38"/>
  <c r="F284" i="38"/>
  <c r="J284" i="38" s="1"/>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F296" i="38"/>
  <c r="H296" i="38" s="1"/>
  <c r="AQ299" i="38"/>
  <c r="AM285" i="38"/>
  <c r="AE287" i="38"/>
  <c r="AE289" i="38"/>
  <c r="AM291" i="38"/>
  <c r="AM293" i="38"/>
  <c r="AE295" i="38"/>
  <c r="AE297" i="38"/>
  <c r="AM299" i="38"/>
  <c r="F269" i="38"/>
  <c r="AM269" i="38"/>
  <c r="AE272" i="38"/>
  <c r="F273" i="38"/>
  <c r="AM273" i="38"/>
  <c r="AE276" i="38"/>
  <c r="AM277" i="38"/>
  <c r="AE280" i="38"/>
  <c r="F281" i="38"/>
  <c r="AM281" i="38"/>
  <c r="AE284" i="38"/>
  <c r="F285" i="38"/>
  <c r="AE288" i="38"/>
  <c r="AE292" i="38"/>
  <c r="AE296"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I280" i="38"/>
  <c r="AQ281" i="38"/>
  <c r="AI284"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M246" i="38"/>
  <c r="AQ247" i="38"/>
  <c r="AE256" i="38"/>
  <c r="AQ259" i="38"/>
  <c r="F246" i="38"/>
  <c r="J246" i="38" s="1"/>
  <c r="AM247" i="38"/>
  <c r="AQ251" i="38"/>
  <c r="AI252" i="38"/>
  <c r="F253" i="38"/>
  <c r="J253" i="38" s="1"/>
  <c r="AE253" i="38"/>
  <c r="AQ257" i="38"/>
  <c r="AM255" i="38"/>
  <c r="AQ256" i="38"/>
  <c r="AI247" i="38"/>
  <c r="AQ249" i="38"/>
  <c r="AE250" i="38"/>
  <c r="AM245" i="38"/>
  <c r="AQ246" i="38"/>
  <c r="AE247"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7" i="38"/>
  <c r="H247" i="38" s="1"/>
  <c r="F245" i="38"/>
  <c r="J245" i="38" s="1"/>
  <c r="AE245" i="38"/>
  <c r="AI246" i="38"/>
  <c r="AQ245" i="38"/>
  <c r="AE246" i="38"/>
  <c r="AQ248" i="38"/>
  <c r="AM248" i="38"/>
  <c r="AI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s="1"/>
  <c r="AE239" i="38"/>
  <c r="AQ241" i="38"/>
  <c r="AE236"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F236" i="38"/>
  <c r="H236" i="38" s="1"/>
  <c r="AI236" i="38"/>
  <c r="AM238" i="38"/>
  <c r="AI239" i="38"/>
  <c r="AI241" i="38"/>
  <c r="AE241" i="38"/>
  <c r="AM242" i="38"/>
  <c r="AQ228" i="38"/>
  <c r="AI230" i="38"/>
  <c r="AM225" i="38"/>
  <c r="AQ226" i="38"/>
  <c r="AE242" i="38"/>
  <c r="F225" i="38"/>
  <c r="J225" i="38" s="1"/>
  <c r="AQ242" i="38"/>
  <c r="F227" i="38"/>
  <c r="H227" i="38" s="1"/>
  <c r="AE225" i="38"/>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F204" i="38"/>
  <c r="J204" i="38" s="1"/>
  <c r="AI192" i="38"/>
  <c r="F202" i="38"/>
  <c r="J202" i="38" s="1"/>
  <c r="AM203" i="38"/>
  <c r="AE204" i="38"/>
  <c r="AQ204" i="38"/>
  <c r="F193" i="38"/>
  <c r="J193" i="38" s="1"/>
  <c r="AM201" i="38"/>
  <c r="AM204" i="38"/>
  <c r="AI201" i="38"/>
  <c r="AI204" i="38"/>
  <c r="AM202" i="38"/>
  <c r="AQ203" i="38"/>
  <c r="F205" i="38"/>
  <c r="H205" i="38" s="1"/>
  <c r="F203" i="38"/>
  <c r="J203" i="38" s="1"/>
  <c r="AI203" i="38"/>
  <c r="AQ202" i="38"/>
  <c r="AE203" i="38"/>
  <c r="AI205" i="38"/>
  <c r="AQ192" i="38"/>
  <c r="AI202" i="38"/>
  <c r="AM192" i="38"/>
  <c r="AE202" i="38"/>
  <c r="AM194" i="38"/>
  <c r="AQ193" i="38"/>
  <c r="AM205" i="38"/>
  <c r="F171" i="38"/>
  <c r="J171" i="38" s="1"/>
  <c r="AE205" i="38"/>
  <c r="AQ205" i="38"/>
  <c r="AQ194" i="38"/>
  <c r="AE193" i="38"/>
  <c r="AE195" i="38"/>
  <c r="F194" i="38"/>
  <c r="J194" i="38" s="1"/>
  <c r="AM193" i="38"/>
  <c r="F196" i="38"/>
  <c r="J196" i="38" s="1"/>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0" i="38"/>
  <c r="H17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R184" i="38" s="1"/>
  <c r="AQ185" i="38"/>
  <c r="AI177" i="38"/>
  <c r="AI172" i="38"/>
  <c r="AE172" i="38"/>
  <c r="AE173" i="38"/>
  <c r="F174" i="38"/>
  <c r="J174" i="38" s="1"/>
  <c r="AI171" i="38"/>
  <c r="F172" i="38"/>
  <c r="H172" i="38" s="1"/>
  <c r="AQ171" i="38"/>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H174" i="38"/>
  <c r="AQ187" i="38"/>
  <c r="AE188" i="38"/>
  <c r="AE189" i="38"/>
  <c r="AM187" i="38"/>
  <c r="AQ188" i="38"/>
  <c r="AQ189" i="38"/>
  <c r="F186" i="38"/>
  <c r="J186" i="38" s="1"/>
  <c r="AI187" i="38"/>
  <c r="F188" i="38"/>
  <c r="H188" i="38" s="1"/>
  <c r="AM188" i="38"/>
  <c r="AM189" i="38"/>
  <c r="AQ166" i="38"/>
  <c r="AM167" i="38"/>
  <c r="AE166" i="38"/>
  <c r="F167" i="38"/>
  <c r="J167" i="38" s="1"/>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H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F64" i="38"/>
  <c r="J64" i="38" s="1"/>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H60"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F29" i="38"/>
  <c r="J29" i="38" s="1"/>
  <c r="AM27" i="38"/>
  <c r="AQ29" i="38"/>
  <c r="AM29"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C244" i="38"/>
  <c r="AB244" i="38"/>
  <c r="E244" i="38"/>
  <c r="D244" i="38"/>
  <c r="AP224" i="38"/>
  <c r="AN224" i="38"/>
  <c r="AL224" i="38"/>
  <c r="AK224" i="38"/>
  <c r="AJ224" i="38"/>
  <c r="AH224" i="38"/>
  <c r="AG224" i="38"/>
  <c r="AF224" i="38"/>
  <c r="AD224" i="38"/>
  <c r="AC224" i="38"/>
  <c r="AB224" i="38"/>
  <c r="E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D328" i="38" l="1"/>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E398"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AR358" i="38"/>
  <c r="H373" i="38"/>
  <c r="J392" i="38"/>
  <c r="J394" i="38"/>
  <c r="H396" i="38"/>
  <c r="AR396" i="38"/>
  <c r="AR393" i="38"/>
  <c r="AR394" i="38"/>
  <c r="J387" i="38"/>
  <c r="AR392" i="38"/>
  <c r="H287" i="38"/>
  <c r="H315" i="38"/>
  <c r="AR386" i="38"/>
  <c r="AR372" i="38"/>
  <c r="H368" i="38"/>
  <c r="H316" i="38"/>
  <c r="H378" i="38"/>
  <c r="H362" i="38"/>
  <c r="H322" i="38"/>
  <c r="AR387" i="38"/>
  <c r="H351" i="38"/>
  <c r="AR356" i="38"/>
  <c r="AR365" i="38"/>
  <c r="H374" i="38"/>
  <c r="J371" i="38"/>
  <c r="H364" i="38"/>
  <c r="AR378" i="38"/>
  <c r="H358" i="38"/>
  <c r="AR368" i="38"/>
  <c r="AR379" i="38"/>
  <c r="AR371" i="38"/>
  <c r="AR369" i="38"/>
  <c r="AR362" i="38"/>
  <c r="AR355" i="38"/>
  <c r="AR377" i="38"/>
  <c r="AR364" i="38"/>
  <c r="H279" i="38"/>
  <c r="AR367" i="38"/>
  <c r="AR353" i="38"/>
  <c r="AR360" i="38"/>
  <c r="H311" i="38"/>
  <c r="H288" i="38"/>
  <c r="H353" i="38"/>
  <c r="H352"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H314" i="38"/>
  <c r="J309" i="38"/>
  <c r="H302" i="38"/>
  <c r="H321" i="38"/>
  <c r="H275" i="38"/>
  <c r="H317" i="38"/>
  <c r="AR274"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H225" i="38"/>
  <c r="J236" i="38"/>
  <c r="H300" i="38"/>
  <c r="AR299" i="38"/>
  <c r="AR293" i="38"/>
  <c r="AR285" i="38"/>
  <c r="H308" i="38"/>
  <c r="AR273" i="38"/>
  <c r="AR302" i="38"/>
  <c r="AR296" i="38"/>
  <c r="AR276" i="38"/>
  <c r="AR269" i="38"/>
  <c r="AR303" i="38"/>
  <c r="AR309" i="38"/>
  <c r="H273" i="38"/>
  <c r="J273" i="38"/>
  <c r="H265" i="38"/>
  <c r="AR300" i="38"/>
  <c r="H285" i="38"/>
  <c r="J285" i="38"/>
  <c r="AR272" i="38"/>
  <c r="H269" i="38"/>
  <c r="J269" i="38"/>
  <c r="H263" i="38"/>
  <c r="AR288" i="38"/>
  <c r="AR284" i="38"/>
  <c r="H281" i="38"/>
  <c r="J281" i="38"/>
  <c r="H238" i="38"/>
  <c r="AR292" i="38"/>
  <c r="AR280"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H193" i="38"/>
  <c r="J205" i="38"/>
  <c r="AR209" i="38"/>
  <c r="J208" i="38"/>
  <c r="H212" i="38"/>
  <c r="AR212" i="38"/>
  <c r="H204" i="38"/>
  <c r="AR211" i="38"/>
  <c r="H194" i="38"/>
  <c r="AR208" i="38"/>
  <c r="AR204" i="38"/>
  <c r="AR202" i="38"/>
  <c r="H203" i="38"/>
  <c r="AR203" i="38"/>
  <c r="AR205" i="38"/>
  <c r="J195" i="38"/>
  <c r="H171" i="38"/>
  <c r="AR193"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H64"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H29" i="38"/>
  <c r="AR33" i="38"/>
  <c r="J30" i="38"/>
  <c r="AR35" i="38"/>
  <c r="AR31" i="38"/>
  <c r="H33" i="38"/>
  <c r="AR30" i="38"/>
  <c r="H22" i="38"/>
  <c r="J25" i="38"/>
  <c r="H26" i="38"/>
  <c r="AG199" i="38"/>
  <c r="AG190" i="38" s="1"/>
  <c r="AB89" i="38"/>
  <c r="AL133" i="38"/>
  <c r="AO312" i="38"/>
  <c r="AF328" i="38"/>
  <c r="AN389" i="38"/>
  <c r="AH398" i="38"/>
  <c r="AH397" i="38" s="1"/>
  <c r="H18" i="38"/>
  <c r="AR25" i="38"/>
  <c r="AR26" i="38"/>
  <c r="H24" i="38"/>
  <c r="AR24" i="38"/>
  <c r="AN312" i="38"/>
  <c r="AO389" i="38"/>
  <c r="H19" i="38"/>
  <c r="AJ133" i="38"/>
  <c r="AN199" i="38"/>
  <c r="AN190" i="38" s="1"/>
  <c r="AR22" i="38"/>
  <c r="AD389" i="38"/>
  <c r="AK199" i="38"/>
  <c r="AK190" i="38" s="1"/>
  <c r="AG267" i="38"/>
  <c r="AJ312" i="38"/>
  <c r="AG345" i="38"/>
  <c r="AJ389" i="38"/>
  <c r="H23" i="38"/>
  <c r="AM191" i="38"/>
  <c r="AR19" i="38"/>
  <c r="AR20" i="38"/>
  <c r="AB199" i="38"/>
  <c r="AB190" i="38" s="1"/>
  <c r="AN223" i="38"/>
  <c r="AJ243" i="38"/>
  <c r="H17" i="38"/>
  <c r="AB133" i="38"/>
  <c r="D89" i="38"/>
  <c r="AF89" i="38"/>
  <c r="AB267" i="38"/>
  <c r="AJ328"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F134" i="38"/>
  <c r="J134" i="38" s="1"/>
  <c r="AF133" i="38"/>
  <c r="AM162" i="38"/>
  <c r="F163" i="38"/>
  <c r="J163" i="38" s="1"/>
  <c r="AD164" i="38"/>
  <c r="AJ164" i="38"/>
  <c r="AQ207" i="38"/>
  <c r="AJ199" i="38"/>
  <c r="AJ190" i="38" s="1"/>
  <c r="AB223" i="38"/>
  <c r="AE268" i="38"/>
  <c r="AL267" i="38"/>
  <c r="AQ399" i="38"/>
  <c r="F528" i="38"/>
  <c r="H528" i="38" s="1"/>
  <c r="AF199" i="38"/>
  <c r="AF190" i="38" s="1"/>
  <c r="AM399" i="38"/>
  <c r="AR23" i="38"/>
  <c r="AR17" i="38"/>
  <c r="AE36" i="38"/>
  <c r="AE119" i="38"/>
  <c r="AG118" i="38"/>
  <c r="AM131" i="38"/>
  <c r="AN133" i="38"/>
  <c r="AQ162" i="38"/>
  <c r="AM165" i="38"/>
  <c r="AD223" i="38"/>
  <c r="AB243" i="38"/>
  <c r="AF243" i="38"/>
  <c r="AI268" i="38"/>
  <c r="D312" i="38"/>
  <c r="AK312" i="38"/>
  <c r="AM234" i="38"/>
  <c r="AI339" i="38"/>
  <c r="AK328" i="38"/>
  <c r="AM346" i="38"/>
  <c r="AE390" i="38"/>
  <c r="AP389" i="38"/>
  <c r="AE399" i="38"/>
  <c r="AG13" i="38"/>
  <c r="F90" i="38"/>
  <c r="H90" i="38" s="1"/>
  <c r="AN96" i="38"/>
  <c r="AF118" i="38"/>
  <c r="AL118" i="38"/>
  <c r="AO164" i="38"/>
  <c r="AF267"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I28"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E313" i="38"/>
  <c r="AD328" i="38"/>
  <c r="AI395" i="38"/>
  <c r="F330" i="38"/>
  <c r="H330" i="38" s="1"/>
  <c r="AQ335" i="38"/>
  <c r="F501" i="38"/>
  <c r="J501" i="38" s="1"/>
  <c r="AP500" i="38"/>
  <c r="AP499" i="38" s="1"/>
  <c r="AM528" i="38"/>
  <c r="AM542" i="38"/>
  <c r="AK96" i="38"/>
  <c r="AB118" i="38"/>
  <c r="AI132" i="38"/>
  <c r="AK118" i="38"/>
  <c r="AD133" i="38"/>
  <c r="AQ148" i="38"/>
  <c r="AE150" i="38"/>
  <c r="F162" i="38"/>
  <c r="J162" i="38" s="1"/>
  <c r="F165" i="38"/>
  <c r="J165" i="38" s="1"/>
  <c r="F200" i="38"/>
  <c r="H200" i="38" s="1"/>
  <c r="AP199" i="38"/>
  <c r="AP190" i="38" s="1"/>
  <c r="AM206" i="38"/>
  <c r="AH243" i="38"/>
  <c r="F268" i="38"/>
  <c r="H268" i="38" s="1"/>
  <c r="AH267" i="38"/>
  <c r="F313" i="38"/>
  <c r="J313" i="38" s="1"/>
  <c r="F390" i="38"/>
  <c r="H390"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C223" i="38"/>
  <c r="AI313"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M134" i="38"/>
  <c r="AI148" i="38"/>
  <c r="AM150" i="38"/>
  <c r="AQ163" i="38"/>
  <c r="AK164" i="38"/>
  <c r="AP164" i="38"/>
  <c r="AN164" i="38"/>
  <c r="AM213" i="38"/>
  <c r="AQ221" i="38"/>
  <c r="AE198" i="38"/>
  <c r="AD199" i="38"/>
  <c r="AD190" i="38" s="1"/>
  <c r="AQ206" i="38"/>
  <c r="AP223" i="38"/>
  <c r="E243" i="38"/>
  <c r="AG243" i="38"/>
  <c r="AL243" i="38"/>
  <c r="AK267" i="38"/>
  <c r="AG312" i="38"/>
  <c r="F339" i="38"/>
  <c r="H339" i="38" s="1"/>
  <c r="AE335" i="38"/>
  <c r="F338" i="38"/>
  <c r="J338" i="38" s="1"/>
  <c r="AJ398" i="38"/>
  <c r="AJ397" i="38" s="1"/>
  <c r="AL164" i="38"/>
  <c r="AE46" i="38"/>
  <c r="AE88" i="38"/>
  <c r="AC89" i="38"/>
  <c r="AB96" i="38"/>
  <c r="AE103" i="38"/>
  <c r="AC96" i="38"/>
  <c r="AI117" i="38"/>
  <c r="AH118" i="38"/>
  <c r="F132" i="38"/>
  <c r="J132" i="38" s="1"/>
  <c r="AC133" i="38"/>
  <c r="AI163" i="38"/>
  <c r="AH164" i="38"/>
  <c r="AM198" i="38"/>
  <c r="AL199" i="38"/>
  <c r="AL190" i="38" s="1"/>
  <c r="AI206" i="38"/>
  <c r="AI224" i="38"/>
  <c r="E223" i="38"/>
  <c r="AE395" i="38"/>
  <c r="AC389" i="38"/>
  <c r="AM335" i="38"/>
  <c r="F46" i="38"/>
  <c r="H46" i="38" s="1"/>
  <c r="AI51" i="38"/>
  <c r="AM62" i="38"/>
  <c r="AQ36" i="38"/>
  <c r="AG149"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C149" i="38"/>
  <c r="AQ150" i="38"/>
  <c r="AE163" i="38"/>
  <c r="E164" i="38"/>
  <c r="AB164" i="38"/>
  <c r="AF164" i="38"/>
  <c r="AQ213" i="38"/>
  <c r="F221" i="38"/>
  <c r="J221" i="38" s="1"/>
  <c r="AE221" i="38"/>
  <c r="AI214" i="38"/>
  <c r="AI198" i="38"/>
  <c r="AH199" i="38"/>
  <c r="AH190" i="38" s="1"/>
  <c r="E199" i="38"/>
  <c r="E190" i="38" s="1"/>
  <c r="AE206" i="38"/>
  <c r="AE224" i="38"/>
  <c r="AK243" i="38"/>
  <c r="AP243" i="38"/>
  <c r="AP267" i="38"/>
  <c r="AM313" i="38"/>
  <c r="AB389"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G223" i="38"/>
  <c r="AD243" i="38"/>
  <c r="AO243" i="38"/>
  <c r="AJ267" i="38"/>
  <c r="AN267" i="38"/>
  <c r="AD267" i="38"/>
  <c r="AC267" i="38"/>
  <c r="E312" i="38"/>
  <c r="AP312" i="38"/>
  <c r="AQ234" i="38"/>
  <c r="AP328" i="38"/>
  <c r="AM339" i="38"/>
  <c r="AO328" i="38"/>
  <c r="AH345"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E329" i="38"/>
  <c r="AI329" i="38"/>
  <c r="AM329" i="38"/>
  <c r="AQ329" i="38"/>
  <c r="AH312" i="38"/>
  <c r="AL312" i="38"/>
  <c r="AQ313" i="38"/>
  <c r="AQ260" i="38"/>
  <c r="F260" i="38"/>
  <c r="H260" i="38" s="1"/>
  <c r="AE260" i="38"/>
  <c r="AI260" i="38"/>
  <c r="AM260" i="38"/>
  <c r="F244" i="38"/>
  <c r="AE244" i="38"/>
  <c r="AI244" i="38"/>
  <c r="AM244" i="38"/>
  <c r="AQ244" i="38"/>
  <c r="I222" i="38"/>
  <c r="F235" i="38"/>
  <c r="J235" i="38" s="1"/>
  <c r="AL223" i="38"/>
  <c r="AH223" i="38"/>
  <c r="AE200" i="38"/>
  <c r="AI200" i="38"/>
  <c r="AM200" i="38"/>
  <c r="AQ200" i="38"/>
  <c r="F206" i="38"/>
  <c r="AI191" i="38"/>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E149" i="38"/>
  <c r="AE541" i="38"/>
  <c r="AJ526" i="38"/>
  <c r="AN499" i="38"/>
  <c r="AQ235" i="38"/>
  <c r="D527" i="38"/>
  <c r="D389" i="38"/>
  <c r="AE235" i="38"/>
  <c r="AL13" i="38"/>
  <c r="F467" i="38"/>
  <c r="D133" i="38"/>
  <c r="D164" i="38"/>
  <c r="F489" i="38"/>
  <c r="AI383" i="38"/>
  <c r="G327" i="38"/>
  <c r="AF526" i="38"/>
  <c r="AJ499" i="38"/>
  <c r="AB499" i="38"/>
  <c r="F485" i="38"/>
  <c r="AQ459" i="38"/>
  <c r="AM459" i="38"/>
  <c r="AI459" i="38"/>
  <c r="AE459" i="38"/>
  <c r="G222" i="38"/>
  <c r="D118" i="38"/>
  <c r="D96" i="38"/>
  <c r="I327" i="38"/>
  <c r="AI235" i="38"/>
  <c r="F207" i="38"/>
  <c r="AH13" i="38"/>
  <c r="E267" i="38"/>
  <c r="AM235" i="38"/>
  <c r="AQ107" i="38"/>
  <c r="G106" i="38"/>
  <c r="I106" i="38"/>
  <c r="AM107" i="38"/>
  <c r="AO13" i="38"/>
  <c r="AJ13" i="38"/>
  <c r="AM14" i="38"/>
  <c r="AN13" i="38"/>
  <c r="AQ14" i="38"/>
  <c r="AF13" i="38"/>
  <c r="AI14" i="38"/>
  <c r="I12" i="38"/>
  <c r="J541" i="38" l="1"/>
  <c r="I566" i="38"/>
  <c r="G566" i="38"/>
  <c r="E328" i="38"/>
  <c r="F328" i="38" s="1"/>
  <c r="AC328" i="38"/>
  <c r="AE328" i="38" s="1"/>
  <c r="AG328" i="38"/>
  <c r="AG327" i="38" s="1"/>
  <c r="AI190" i="38"/>
  <c r="AM190" i="38"/>
  <c r="E526" i="38"/>
  <c r="AR485" i="38"/>
  <c r="J330" i="38"/>
  <c r="J268" i="38"/>
  <c r="H150" i="38"/>
  <c r="F83" i="38"/>
  <c r="H83" i="38" s="1"/>
  <c r="AM312" i="38"/>
  <c r="H458" i="38"/>
  <c r="J103" i="38"/>
  <c r="AI267" i="38"/>
  <c r="H134" i="38"/>
  <c r="H221" i="38"/>
  <c r="J46" i="38"/>
  <c r="F89" i="38"/>
  <c r="J89" i="38" s="1"/>
  <c r="J390" i="38"/>
  <c r="AQ500" i="38"/>
  <c r="H395" i="38"/>
  <c r="J329" i="38"/>
  <c r="AM83" i="38"/>
  <c r="F96" i="38"/>
  <c r="H96" i="38" s="1"/>
  <c r="AE133" i="38"/>
  <c r="J457" i="38"/>
  <c r="H542" i="38"/>
  <c r="H541" i="38" s="1"/>
  <c r="AE118" i="38"/>
  <c r="AR36" i="38"/>
  <c r="J131" i="38"/>
  <c r="F214" i="38"/>
  <c r="H214" i="38" s="1"/>
  <c r="J260" i="38"/>
  <c r="H54" i="38"/>
  <c r="AM118" i="38"/>
  <c r="H85" i="38"/>
  <c r="H162" i="38"/>
  <c r="AI527" i="38"/>
  <c r="AI118" i="38"/>
  <c r="AQ389" i="38"/>
  <c r="J90" i="38"/>
  <c r="AR117" i="38"/>
  <c r="H466" i="38"/>
  <c r="J528" i="38"/>
  <c r="AO12" i="38"/>
  <c r="AL12" i="38"/>
  <c r="H163" i="38"/>
  <c r="H338" i="38"/>
  <c r="AM267" i="38"/>
  <c r="AI199" i="38"/>
  <c r="AP222" i="38"/>
  <c r="AI164" i="38"/>
  <c r="AQ164" i="38"/>
  <c r="AE527" i="38"/>
  <c r="AM527" i="38"/>
  <c r="H165" i="38"/>
  <c r="AR338" i="38"/>
  <c r="AR206" i="38"/>
  <c r="AQ96" i="38"/>
  <c r="AE96" i="38"/>
  <c r="AK12" i="38"/>
  <c r="AM133" i="38"/>
  <c r="AR260" i="38"/>
  <c r="AQ118" i="38"/>
  <c r="AI509" i="38"/>
  <c r="AR509" i="38" s="1"/>
  <c r="AR119" i="38"/>
  <c r="AR207" i="38"/>
  <c r="AQ83" i="38"/>
  <c r="F389" i="38"/>
  <c r="J389" i="38" s="1"/>
  <c r="AQ243" i="38"/>
  <c r="AK222" i="38"/>
  <c r="AI389" i="38"/>
  <c r="AI398" i="38"/>
  <c r="AG499" i="38"/>
  <c r="AI499" i="38" s="1"/>
  <c r="AM243" i="38"/>
  <c r="AM199" i="38"/>
  <c r="H44" i="38"/>
  <c r="AH106" i="38"/>
  <c r="AR488" i="38"/>
  <c r="F312" i="38"/>
  <c r="H312" i="38" s="1"/>
  <c r="AG222" i="38"/>
  <c r="AR467" i="38"/>
  <c r="AE389" i="38"/>
  <c r="AR132" i="38"/>
  <c r="AE89" i="38"/>
  <c r="AQ527" i="38"/>
  <c r="AR346" i="38"/>
  <c r="AI83" i="38"/>
  <c r="AR390" i="38"/>
  <c r="AK106" i="38"/>
  <c r="AR150" i="38"/>
  <c r="AE83" i="38"/>
  <c r="AI133" i="38"/>
  <c r="AJ222" i="38"/>
  <c r="AQ312" i="38"/>
  <c r="J36" i="38"/>
  <c r="AR313" i="38"/>
  <c r="AR54" i="38"/>
  <c r="AM500" i="38"/>
  <c r="AE223" i="38"/>
  <c r="H119" i="38"/>
  <c r="H198" i="38"/>
  <c r="J339" i="38"/>
  <c r="H399" i="38"/>
  <c r="AO526" i="38"/>
  <c r="AQ526" i="38" s="1"/>
  <c r="AM328" i="38"/>
  <c r="F133" i="38"/>
  <c r="H133" i="38" s="1"/>
  <c r="AQ133" i="38"/>
  <c r="H346" i="38"/>
  <c r="AR344" i="38"/>
  <c r="AR339" i="38"/>
  <c r="AR213" i="38"/>
  <c r="AR163" i="38"/>
  <c r="AM89" i="38"/>
  <c r="AI89" i="38"/>
  <c r="AR268" i="38"/>
  <c r="AR399" i="38"/>
  <c r="AG106" i="38"/>
  <c r="AL222" i="38"/>
  <c r="AO397" i="38"/>
  <c r="AQ149" i="38"/>
  <c r="AR85" i="38"/>
  <c r="AE267" i="38"/>
  <c r="AQ398" i="38"/>
  <c r="AR489" i="38"/>
  <c r="AR88" i="38"/>
  <c r="AL106" i="38"/>
  <c r="AM164" i="38"/>
  <c r="AR330" i="38"/>
  <c r="AI243" i="38"/>
  <c r="AR165" i="38"/>
  <c r="AM149" i="38"/>
  <c r="AD106" i="38"/>
  <c r="F118" i="38"/>
  <c r="J118" i="38" s="1"/>
  <c r="F164" i="38"/>
  <c r="J164" i="38" s="1"/>
  <c r="AN222" i="38"/>
  <c r="AH327" i="38"/>
  <c r="E39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E222" i="38"/>
  <c r="AR244" i="38"/>
  <c r="H244" i="38"/>
  <c r="J244" i="38"/>
  <c r="H235" i="38"/>
  <c r="AM223" i="38"/>
  <c r="J206" i="38"/>
  <c r="H206" i="38"/>
  <c r="AR200" i="38"/>
  <c r="J213" i="38"/>
  <c r="H213" i="38"/>
  <c r="AP106" i="38"/>
  <c r="E106" i="38"/>
  <c r="AN106" i="38"/>
  <c r="AI149" i="38"/>
  <c r="AR134" i="38"/>
  <c r="J148" i="38"/>
  <c r="H148" i="38"/>
  <c r="AI107" i="38"/>
  <c r="AR107" i="38" s="1"/>
  <c r="J117" i="38"/>
  <c r="H117" i="38"/>
  <c r="AH12" i="38"/>
  <c r="AR90" i="38"/>
  <c r="H51" i="38"/>
  <c r="J51" i="38"/>
  <c r="J207" i="38"/>
  <c r="H207" i="38"/>
  <c r="J485" i="38"/>
  <c r="H485" i="38"/>
  <c r="J467" i="38"/>
  <c r="H467" i="38"/>
  <c r="D499" i="38"/>
  <c r="F499" i="38" s="1"/>
  <c r="F500" i="38"/>
  <c r="J489" i="38"/>
  <c r="H489" i="38"/>
  <c r="AN12" i="38"/>
  <c r="F107" i="38"/>
  <c r="AI13" i="38"/>
  <c r="AF12" i="38"/>
  <c r="AM13" i="38"/>
  <c r="AR459" i="38"/>
  <c r="AR235" i="38"/>
  <c r="D526" i="38"/>
  <c r="F527" i="38"/>
  <c r="J459" i="38"/>
  <c r="H459" i="38"/>
  <c r="AI328" i="38" l="1"/>
  <c r="AR328" i="38" s="1"/>
  <c r="AG566" i="38"/>
  <c r="AH566" i="38"/>
  <c r="AJ106" i="38"/>
  <c r="AM106" i="38" s="1"/>
  <c r="AF106" i="38"/>
  <c r="AI106" i="38" s="1"/>
  <c r="F526" i="38"/>
  <c r="H526" i="38" s="1"/>
  <c r="J83" i="38"/>
  <c r="J214" i="38"/>
  <c r="J96" i="38"/>
  <c r="H89" i="38"/>
  <c r="H164" i="38"/>
  <c r="AR118" i="38"/>
  <c r="AR527" i="38"/>
  <c r="AR500" i="38"/>
  <c r="J133" i="38"/>
  <c r="AM222" i="38"/>
  <c r="AR89" i="38"/>
  <c r="AR133" i="38"/>
  <c r="AR83" i="38"/>
  <c r="H389" i="38"/>
  <c r="AR389" i="38"/>
  <c r="J312" i="38"/>
  <c r="AQ397" i="38"/>
  <c r="H118" i="38"/>
  <c r="AR96" i="38"/>
  <c r="AR526" i="38"/>
  <c r="AR499" i="38"/>
  <c r="AI12" i="38"/>
  <c r="J328" i="38"/>
  <c r="H328" i="38"/>
  <c r="H499" i="38"/>
  <c r="J499" i="38"/>
  <c r="H527" i="38"/>
  <c r="J527" i="38"/>
  <c r="H500" i="38"/>
  <c r="J500" i="38"/>
  <c r="J107" i="38"/>
  <c r="H107" i="38"/>
  <c r="J526" i="38" l="1"/>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O21" i="44"/>
  <c r="N21" i="44"/>
  <c r="M21" i="44"/>
  <c r="L21" i="44"/>
  <c r="K21" i="44"/>
  <c r="J21" i="44"/>
  <c r="I21" i="44"/>
  <c r="H21" i="44"/>
  <c r="H27" i="23"/>
  <c r="I27" i="23"/>
  <c r="J27" i="23"/>
  <c r="K27" i="23"/>
  <c r="L27" i="23"/>
  <c r="M27" i="23"/>
  <c r="N27" i="23"/>
  <c r="O27" i="23"/>
  <c r="O36" i="33"/>
  <c r="N36" i="33"/>
  <c r="M36" i="33"/>
  <c r="L36" i="33"/>
  <c r="K36" i="33"/>
  <c r="J36" i="33"/>
  <c r="I36" i="33"/>
  <c r="H36" i="33"/>
  <c r="O43" i="30"/>
  <c r="N43" i="30"/>
  <c r="M43" i="30"/>
  <c r="L43" i="30"/>
  <c r="K43" i="30"/>
  <c r="J43" i="30"/>
  <c r="I43" i="30"/>
  <c r="H43" i="30"/>
  <c r="O21" i="29"/>
  <c r="N21" i="29"/>
  <c r="M21" i="29"/>
  <c r="L21" i="29"/>
  <c r="K21" i="29"/>
  <c r="J21" i="29"/>
  <c r="I21" i="29"/>
  <c r="H21" i="29"/>
  <c r="O28" i="28"/>
  <c r="N28" i="28"/>
  <c r="M28" i="28"/>
  <c r="L28" i="28"/>
  <c r="K28" i="28"/>
  <c r="J28" i="28"/>
  <c r="I28" i="28"/>
  <c r="H28" i="28"/>
  <c r="D79" i="27" l="1"/>
  <c r="E15" i="38"/>
  <c r="F15" i="38" s="1"/>
  <c r="D56" i="27"/>
  <c r="J15" i="38" l="1"/>
  <c r="H15" i="38"/>
  <c r="AB15" i="38"/>
  <c r="D55" i="27"/>
  <c r="D54" i="27"/>
  <c r="AD64" i="38"/>
  <c r="AD47" i="38" s="1"/>
  <c r="D53" i="27"/>
  <c r="AD15" i="38"/>
  <c r="D14" i="38"/>
  <c r="AB14" i="38"/>
  <c r="AE15" i="38" l="1"/>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O20" i="43"/>
  <c r="Q20" i="43" s="1"/>
  <c r="O19" i="43"/>
  <c r="P19" i="43" s="1"/>
  <c r="O18" i="43"/>
  <c r="Q18" i="43" s="1"/>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E17" i="12"/>
  <c r="I38" i="40"/>
  <c r="F38" i="40"/>
  <c r="I37" i="40"/>
  <c r="F37" i="40"/>
  <c r="AC424" i="38" s="1"/>
  <c r="AE424" i="38" s="1"/>
  <c r="AR424" i="38" s="1"/>
  <c r="I36" i="40"/>
  <c r="F36" i="40"/>
  <c r="AC423" i="38" s="1"/>
  <c r="AE423" i="38" s="1"/>
  <c r="AR423" i="38" s="1"/>
  <c r="I35" i="40"/>
  <c r="F35" i="40"/>
  <c r="AC422" i="38" s="1"/>
  <c r="AE422" i="38" s="1"/>
  <c r="AR422" i="38" s="1"/>
  <c r="I34" i="40"/>
  <c r="F34" i="40"/>
  <c r="AC421" i="38" s="1"/>
  <c r="AE421" i="38" s="1"/>
  <c r="AR421" i="38" s="1"/>
  <c r="I33" i="40"/>
  <c r="F33" i="40"/>
  <c r="AC420" i="38" s="1"/>
  <c r="AE420" i="38" s="1"/>
  <c r="AR420" i="38" s="1"/>
  <c r="I32" i="40"/>
  <c r="F32" i="40"/>
  <c r="AC419" i="38" s="1"/>
  <c r="AE419" i="38" s="1"/>
  <c r="AR419" i="38" s="1"/>
  <c r="I31" i="40"/>
  <c r="F31" i="40"/>
  <c r="AC418" i="38" s="1"/>
  <c r="AE418" i="38" s="1"/>
  <c r="AR418" i="38" s="1"/>
  <c r="I30" i="40"/>
  <c r="F30" i="40"/>
  <c r="AC417" i="38" s="1"/>
  <c r="AE417" i="38" s="1"/>
  <c r="AR417" i="38" s="1"/>
  <c r="I29" i="40"/>
  <c r="F29" i="40"/>
  <c r="AC416" i="38" s="1"/>
  <c r="AE416" i="38" s="1"/>
  <c r="AR416" i="38" s="1"/>
  <c r="I28" i="40"/>
  <c r="F28" i="40"/>
  <c r="AC415" i="38" s="1"/>
  <c r="AE415" i="38" s="1"/>
  <c r="AR415" i="38" s="1"/>
  <c r="I27" i="40"/>
  <c r="F27" i="40"/>
  <c r="AC414" i="38" s="1"/>
  <c r="AE414" i="38" s="1"/>
  <c r="AR414" i="38" s="1"/>
  <c r="I26" i="40"/>
  <c r="F26" i="40"/>
  <c r="AC413" i="38" s="1"/>
  <c r="AE413" i="38" s="1"/>
  <c r="AR413" i="38" s="1"/>
  <c r="I25" i="40"/>
  <c r="F25" i="40"/>
  <c r="AC412" i="38" s="1"/>
  <c r="AE412" i="38" s="1"/>
  <c r="AR412" i="38" s="1"/>
  <c r="I24" i="40"/>
  <c r="F24" i="40"/>
  <c r="AC411" i="38" s="1"/>
  <c r="AE411" i="38" s="1"/>
  <c r="AR411" i="38" s="1"/>
  <c r="I23" i="40"/>
  <c r="F23" i="40"/>
  <c r="AC410" i="38" s="1"/>
  <c r="AE410" i="38" s="1"/>
  <c r="AR410" i="38" s="1"/>
  <c r="I22" i="40"/>
  <c r="F22" i="40"/>
  <c r="AL409" i="38" s="1"/>
  <c r="I21" i="40"/>
  <c r="F21" i="40"/>
  <c r="AC408" i="38" s="1"/>
  <c r="AE408" i="38" s="1"/>
  <c r="AR408" i="38" s="1"/>
  <c r="I20" i="40"/>
  <c r="F20" i="40"/>
  <c r="AC407" i="38" s="1"/>
  <c r="AE407" i="38" s="1"/>
  <c r="AR407" i="38" s="1"/>
  <c r="I19" i="40"/>
  <c r="F19" i="40"/>
  <c r="AC406" i="38" s="1"/>
  <c r="AE406" i="38" s="1"/>
  <c r="AR406" i="38" s="1"/>
  <c r="J18" i="40"/>
  <c r="I18" i="40"/>
  <c r="F18" i="40"/>
  <c r="AC405" i="38" s="1"/>
  <c r="I17" i="40"/>
  <c r="F17" i="40"/>
  <c r="D404" i="38" l="1"/>
  <c r="AB404" i="38"/>
  <c r="AE405" i="38"/>
  <c r="AR405" i="38" s="1"/>
  <c r="AC398" i="38"/>
  <c r="AC397" i="38" s="1"/>
  <c r="AM409" i="38"/>
  <c r="AR409" i="38" s="1"/>
  <c r="AL398" i="38"/>
  <c r="Q39" i="43"/>
  <c r="AB32" i="38"/>
  <c r="AE32" i="38" s="1"/>
  <c r="AR32" i="38" s="1"/>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D5" i="42" s="1"/>
  <c r="C10" i="27" s="1"/>
  <c r="P17" i="43"/>
  <c r="D10" i="40"/>
  <c r="D5" i="40" s="1"/>
  <c r="C9" i="27" s="1"/>
  <c r="J35" i="10"/>
  <c r="Y322" i="38" s="1"/>
  <c r="Y201" i="38"/>
  <c r="Y248" i="38" l="1"/>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89" i="38" s="1"/>
  <c r="Y52" i="38"/>
  <c r="Y305" i="38"/>
  <c r="Y61" i="38"/>
  <c r="Y258" i="38"/>
  <c r="Y145" i="38"/>
  <c r="Y399" i="38"/>
  <c r="Y151" i="38"/>
  <c r="Y272" i="38"/>
  <c r="Y72" i="38"/>
  <c r="Y342" i="38"/>
  <c r="Y35" i="38"/>
  <c r="Y325" i="38"/>
  <c r="AL397" i="38"/>
  <c r="AM398" i="38"/>
  <c r="AE404" i="38"/>
  <c r="AR404" i="38" s="1"/>
  <c r="AB398" i="38"/>
  <c r="F404" i="38"/>
  <c r="D398" i="38"/>
  <c r="D5" i="43"/>
  <c r="C11" i="27" s="1"/>
  <c r="H32" i="38"/>
  <c r="J32" i="38"/>
  <c r="Z28" i="38"/>
  <c r="Z485" i="38" l="1"/>
  <c r="Y191" i="38"/>
  <c r="Z383" i="38"/>
  <c r="Y260" i="38"/>
  <c r="Y383" i="38"/>
  <c r="Y83" i="38"/>
  <c r="Y96" i="38"/>
  <c r="Y207" i="38"/>
  <c r="Z223" i="38"/>
  <c r="Y199" i="38"/>
  <c r="Y389" i="38"/>
  <c r="Y107" i="38"/>
  <c r="Z243" i="38"/>
  <c r="Y489" i="38"/>
  <c r="Y459" i="38"/>
  <c r="Y133" i="38"/>
  <c r="Y214" i="38"/>
  <c r="Y398" i="38"/>
  <c r="Y223" i="38"/>
  <c r="Y500" i="38"/>
  <c r="Y485" i="38"/>
  <c r="Y467" i="38"/>
  <c r="Y328" i="38"/>
  <c r="Y560" i="38"/>
  <c r="Y235" i="38"/>
  <c r="Y190" i="38"/>
  <c r="Y527" i="38"/>
  <c r="Y509" i="38"/>
  <c r="Y541" i="38"/>
  <c r="Z13" i="38"/>
  <c r="Z312" i="38"/>
  <c r="Y312" i="38"/>
  <c r="Z149" i="38"/>
  <c r="Y118" i="38"/>
  <c r="Y267"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499" i="38" s="1"/>
  <c r="Z398" i="38"/>
  <c r="Z560" i="38"/>
  <c r="Z489" i="38"/>
  <c r="Z89" i="38"/>
  <c r="Z235" i="38"/>
  <c r="Z107" i="38"/>
  <c r="AB397" i="38"/>
  <c r="AE397" i="38" s="1"/>
  <c r="AE398" i="38"/>
  <c r="AR398" i="38" s="1"/>
  <c r="F398" i="38"/>
  <c r="D397" i="38"/>
  <c r="F397" i="38" s="1"/>
  <c r="H404" i="38"/>
  <c r="J404" i="38"/>
  <c r="AM397" i="38"/>
  <c r="Q28" i="28"/>
  <c r="I4" i="27" s="1"/>
  <c r="AC201" i="38"/>
  <c r="Y526" i="38" l="1"/>
  <c r="Y397" i="38"/>
  <c r="Y222" i="38"/>
  <c r="Y499" i="38"/>
  <c r="Z12" i="38"/>
  <c r="Z526" i="38"/>
  <c r="Z327" i="38"/>
  <c r="Z397" i="38"/>
  <c r="Z222" i="38"/>
  <c r="Z190" i="38"/>
  <c r="Z106" i="38" s="1"/>
  <c r="AE201" i="38"/>
  <c r="AC199" i="38"/>
  <c r="H397" i="38"/>
  <c r="J397" i="38"/>
  <c r="H398" i="38"/>
  <c r="J398" i="38"/>
  <c r="AR397" i="38"/>
  <c r="J25" i="7"/>
  <c r="Z566" i="38" l="1"/>
  <c r="AE199" i="38"/>
  <c r="I35" i="10"/>
  <c r="I34" i="10"/>
  <c r="I31" i="10"/>
  <c r="I30" i="10"/>
  <c r="I26" i="10"/>
  <c r="I25" i="10"/>
  <c r="I24" i="10"/>
  <c r="I23" i="10"/>
  <c r="I21" i="10"/>
  <c r="I20" i="10"/>
  <c r="I19" i="10"/>
  <c r="I18" i="10"/>
  <c r="I24" i="12"/>
  <c r="I23" i="12"/>
  <c r="I22" i="12"/>
  <c r="I21" i="12"/>
  <c r="I20" i="12"/>
  <c r="I19" i="12"/>
  <c r="I17" i="12"/>
  <c r="I17" i="10"/>
  <c r="I17" i="9"/>
  <c r="I26" i="9"/>
  <c r="I25" i="9"/>
  <c r="I24" i="9"/>
  <c r="I23" i="9"/>
  <c r="I22" i="9"/>
  <c r="I21" i="9"/>
  <c r="I20" i="9"/>
  <c r="I19" i="9"/>
  <c r="I18" i="9"/>
  <c r="C86" i="27"/>
  <c r="C79" i="27"/>
  <c r="C78" i="27"/>
  <c r="C77" i="27"/>
  <c r="C76" i="27"/>
  <c r="C75" i="27"/>
  <c r="C74" i="27"/>
  <c r="C73" i="27"/>
  <c r="C72" i="27"/>
  <c r="C71" i="27"/>
  <c r="C70" i="27"/>
  <c r="C69" i="27"/>
  <c r="AD28" i="38"/>
  <c r="C56" i="27"/>
  <c r="C55" i="27"/>
  <c r="C54" i="27"/>
  <c r="G17" i="7"/>
  <c r="E18" i="7"/>
  <c r="G18" i="7" s="1"/>
  <c r="J18" i="7"/>
  <c r="E19" i="7"/>
  <c r="G19" i="7" s="1"/>
  <c r="J19" i="7"/>
  <c r="J20" i="7"/>
  <c r="D248" i="38"/>
  <c r="J21" i="7"/>
  <c r="E22" i="7"/>
  <c r="G22" i="7" s="1"/>
  <c r="J22" i="7"/>
  <c r="D10" i="7" l="1"/>
  <c r="F248" i="38"/>
  <c r="D243" i="38"/>
  <c r="AC248" i="38"/>
  <c r="AE248" i="38" s="1"/>
  <c r="AR248" i="38" s="1"/>
  <c r="AC171" i="38"/>
  <c r="AE171" i="38" s="1"/>
  <c r="AR171" i="38" s="1"/>
  <c r="AB158" i="38"/>
  <c r="AE158" i="38" s="1"/>
  <c r="AR158" i="38" s="1"/>
  <c r="D158" i="38"/>
  <c r="AC315" i="38"/>
  <c r="AF565" i="38"/>
  <c r="AI565" i="38" s="1"/>
  <c r="AF225" i="38"/>
  <c r="E561" i="38"/>
  <c r="E560" i="38" s="1"/>
  <c r="AB69" i="38"/>
  <c r="AB561" i="38"/>
  <c r="D561" i="38"/>
  <c r="D560" i="38" s="1"/>
  <c r="AC565" i="38"/>
  <c r="C103" i="27"/>
  <c r="C57" i="27"/>
  <c r="D5" i="7"/>
  <c r="C4" i="27" s="1"/>
  <c r="R12" i="45" l="1"/>
  <c r="R16" i="45" s="1"/>
  <c r="I10" i="27" s="1"/>
  <c r="I14" i="27" s="1"/>
  <c r="N12" i="45"/>
  <c r="F243" i="38"/>
  <c r="J248" i="38"/>
  <c r="H248" i="38"/>
  <c r="AF560" i="38"/>
  <c r="AC164" i="38"/>
  <c r="AE164" i="38" s="1"/>
  <c r="AR164" i="38" s="1"/>
  <c r="AC243" i="38"/>
  <c r="AE243" i="38" s="1"/>
  <c r="AR243" i="38" s="1"/>
  <c r="F158" i="38"/>
  <c r="D149" i="38"/>
  <c r="AI225" i="38"/>
  <c r="AR225" i="38" s="1"/>
  <c r="AF223" i="38"/>
  <c r="AE315" i="38"/>
  <c r="AR315" i="38" s="1"/>
  <c r="AC312" i="38"/>
  <c r="F69" i="38"/>
  <c r="E47" i="38"/>
  <c r="F47" i="38" s="1"/>
  <c r="H47" i="38" s="1"/>
  <c r="AE69" i="38"/>
  <c r="AR69" i="38" s="1"/>
  <c r="F561" i="38"/>
  <c r="AE561" i="38"/>
  <c r="AR561" i="38" s="1"/>
  <c r="AB560" i="38"/>
  <c r="AC560" i="38"/>
  <c r="AE565" i="38"/>
  <c r="AR565" i="38" s="1"/>
  <c r="O21" i="31"/>
  <c r="N21" i="31"/>
  <c r="M21" i="31"/>
  <c r="L21" i="31"/>
  <c r="K21" i="31"/>
  <c r="J21" i="31"/>
  <c r="I21" i="31"/>
  <c r="H21" i="31"/>
  <c r="F24" i="12"/>
  <c r="F23" i="12"/>
  <c r="F22" i="12"/>
  <c r="F17" i="12"/>
  <c r="AF322" i="38"/>
  <c r="D100" i="27"/>
  <c r="AD385" i="38"/>
  <c r="AN357" i="38"/>
  <c r="AN345" i="38" s="1"/>
  <c r="AN327" i="38" s="1"/>
  <c r="AN566" i="38" s="1"/>
  <c r="D349" i="38"/>
  <c r="F26" i="9"/>
  <c r="F25" i="9"/>
  <c r="F24" i="9"/>
  <c r="D73" i="27"/>
  <c r="F17" i="9"/>
  <c r="D10" i="9" s="1"/>
  <c r="R10" i="34" s="1"/>
  <c r="L10" i="34" s="1"/>
  <c r="AB28" i="38"/>
  <c r="AJ64" i="38"/>
  <c r="T10" i="4"/>
  <c r="T31" i="4" s="1"/>
  <c r="Y348" i="38" l="1"/>
  <c r="Y350" i="38"/>
  <c r="D74" i="27"/>
  <c r="D93" i="27"/>
  <c r="AJ366" i="38"/>
  <c r="AM366" i="38" s="1"/>
  <c r="E357" i="38"/>
  <c r="E349" i="38"/>
  <c r="F349" i="38" s="1"/>
  <c r="D357" i="38"/>
  <c r="F357" i="38" s="1"/>
  <c r="AF350" i="38"/>
  <c r="D350" i="38"/>
  <c r="F350" i="38" s="1"/>
  <c r="AD383" i="38"/>
  <c r="AE383" i="38" s="1"/>
  <c r="AE385" i="38"/>
  <c r="AO385" i="38"/>
  <c r="AQ385" i="38" s="1"/>
  <c r="E385" i="38"/>
  <c r="E366" i="38"/>
  <c r="F366" i="38" s="1"/>
  <c r="D95" i="27"/>
  <c r="AL357" i="38"/>
  <c r="AL345" i="38" s="1"/>
  <c r="AL327" i="38" s="1"/>
  <c r="AL566" i="38" s="1"/>
  <c r="D94" i="27"/>
  <c r="AK357" i="38"/>
  <c r="D98" i="27"/>
  <c r="AP366" i="38"/>
  <c r="AQ366" i="38" s="1"/>
  <c r="AI322" i="38"/>
  <c r="AF312" i="38"/>
  <c r="AI312" i="38" s="1"/>
  <c r="AO224" i="38"/>
  <c r="D224" i="38"/>
  <c r="D201" i="38"/>
  <c r="AO201" i="38"/>
  <c r="AO277" i="38"/>
  <c r="D277" i="38"/>
  <c r="D192" i="38"/>
  <c r="AC192" i="38"/>
  <c r="Y162" i="38"/>
  <c r="Y149" i="38" s="1"/>
  <c r="Y106" i="38" s="1"/>
  <c r="J243" i="38"/>
  <c r="H243" i="38"/>
  <c r="AD317" i="38"/>
  <c r="AE317" i="38" s="1"/>
  <c r="AR317" i="38" s="1"/>
  <c r="D99" i="27"/>
  <c r="AP348" i="38"/>
  <c r="AQ348" i="38" s="1"/>
  <c r="E348" i="38"/>
  <c r="F348" i="38" s="1"/>
  <c r="AB366" i="38"/>
  <c r="F149" i="38"/>
  <c r="H158" i="38"/>
  <c r="J158" i="38"/>
  <c r="AD357" i="38"/>
  <c r="AE357" i="38" s="1"/>
  <c r="D102" i="27"/>
  <c r="AB322" i="38"/>
  <c r="D91" i="27"/>
  <c r="AD349" i="38"/>
  <c r="AE349" i="38" s="1"/>
  <c r="AR349" i="38" s="1"/>
  <c r="D92" i="27"/>
  <c r="AD366" i="38"/>
  <c r="D96" i="27"/>
  <c r="AO357" i="38"/>
  <c r="AQ357" i="38" s="1"/>
  <c r="D97" i="27"/>
  <c r="AJ385" i="38"/>
  <c r="D101" i="27"/>
  <c r="AD322" i="38"/>
  <c r="D77" i="27"/>
  <c r="AJ350" i="38"/>
  <c r="D70" i="27"/>
  <c r="AC348" i="38"/>
  <c r="D78" i="27"/>
  <c r="AB350" i="38"/>
  <c r="D76" i="27"/>
  <c r="AO350" i="38"/>
  <c r="D71" i="27"/>
  <c r="AD348" i="38"/>
  <c r="D75" i="27"/>
  <c r="AD350" i="38"/>
  <c r="D86" i="27"/>
  <c r="AC366" i="38"/>
  <c r="AB162" i="38"/>
  <c r="AE162" i="38" s="1"/>
  <c r="AR162" i="38" s="1"/>
  <c r="AM64" i="38"/>
  <c r="AJ47" i="38"/>
  <c r="AC222" i="38"/>
  <c r="AI223" i="38"/>
  <c r="J69" i="38"/>
  <c r="J47" i="38" s="1"/>
  <c r="H69" i="38"/>
  <c r="J561" i="38"/>
  <c r="H561" i="38"/>
  <c r="D69" i="27"/>
  <c r="AP45" i="38"/>
  <c r="F45" i="38"/>
  <c r="D72" i="27"/>
  <c r="AD14" i="38"/>
  <c r="E14" i="38"/>
  <c r="F14" i="38" s="1"/>
  <c r="D89" i="27"/>
  <c r="AB27" i="38"/>
  <c r="AE27" i="38" s="1"/>
  <c r="AR27" i="38" s="1"/>
  <c r="F27" i="38"/>
  <c r="AB21" i="38"/>
  <c r="D13" i="38"/>
  <c r="D10" i="12"/>
  <c r="AB29" i="38"/>
  <c r="Y345" i="38" l="1"/>
  <c r="Y327" i="38" s="1"/>
  <c r="J10" i="34"/>
  <c r="D5" i="10"/>
  <c r="C7" i="27" s="1"/>
  <c r="Q27" i="50"/>
  <c r="D5" i="12"/>
  <c r="C8" i="27" s="1"/>
  <c r="Q11" i="50"/>
  <c r="AF222" i="38"/>
  <c r="AI222" i="38" s="1"/>
  <c r="H349" i="38"/>
  <c r="J349" i="38"/>
  <c r="AD312" i="38"/>
  <c r="AD222" i="38" s="1"/>
  <c r="D345" i="38"/>
  <c r="D327" i="38" s="1"/>
  <c r="AI350" i="38"/>
  <c r="AF345" i="38"/>
  <c r="J350" i="38"/>
  <c r="H350" i="38"/>
  <c r="AO383" i="38"/>
  <c r="AQ383" i="38" s="1"/>
  <c r="E383" i="38"/>
  <c r="F383" i="38" s="1"/>
  <c r="F385" i="38"/>
  <c r="J357" i="38"/>
  <c r="H357" i="38"/>
  <c r="AM357" i="38"/>
  <c r="AR357" i="38" s="1"/>
  <c r="AK345" i="38"/>
  <c r="AK327" i="38" s="1"/>
  <c r="AK566" i="38" s="1"/>
  <c r="D191" i="38"/>
  <c r="F191" i="38" s="1"/>
  <c r="F192" i="38"/>
  <c r="AQ277" i="38"/>
  <c r="AR277" i="38" s="1"/>
  <c r="AO267" i="38"/>
  <c r="AQ267" i="38" s="1"/>
  <c r="AR267" i="38" s="1"/>
  <c r="F201" i="38"/>
  <c r="D199" i="38"/>
  <c r="F224" i="38"/>
  <c r="D223" i="38"/>
  <c r="AE192" i="38"/>
  <c r="AR192" i="38" s="1"/>
  <c r="AC191" i="38"/>
  <c r="F277" i="38"/>
  <c r="D267" i="38"/>
  <c r="F267" i="38" s="1"/>
  <c r="AQ201" i="38"/>
  <c r="AR201" i="38" s="1"/>
  <c r="AO199" i="38"/>
  <c r="AQ224" i="38"/>
  <c r="AR224" i="38" s="1"/>
  <c r="AO223" i="38"/>
  <c r="AB64" i="38"/>
  <c r="AE64" i="38" s="1"/>
  <c r="AR64" i="38" s="1"/>
  <c r="Y64" i="38"/>
  <c r="Y47" i="38" s="1"/>
  <c r="AP345" i="38"/>
  <c r="AP327" i="38" s="1"/>
  <c r="E345" i="38"/>
  <c r="J348" i="38"/>
  <c r="H348" i="38"/>
  <c r="J366" i="38"/>
  <c r="H366" i="38"/>
  <c r="D12" i="38"/>
  <c r="H149" i="38"/>
  <c r="J149" i="38"/>
  <c r="AC345" i="38"/>
  <c r="AC327" i="38" s="1"/>
  <c r="AE322" i="38"/>
  <c r="AR322" i="38" s="1"/>
  <c r="AB312" i="38"/>
  <c r="AJ383" i="38"/>
  <c r="AM383" i="38" s="1"/>
  <c r="AM385" i="38"/>
  <c r="AR385" i="38" s="1"/>
  <c r="D103" i="27"/>
  <c r="AD345" i="38"/>
  <c r="AD327" i="38" s="1"/>
  <c r="AE350" i="38"/>
  <c r="AQ350" i="38"/>
  <c r="AO345" i="38"/>
  <c r="AE348" i="38"/>
  <c r="AR348" i="38" s="1"/>
  <c r="AM350" i="38"/>
  <c r="AJ345" i="38"/>
  <c r="AB345" i="38"/>
  <c r="AB327" i="38" s="1"/>
  <c r="AE366" i="38"/>
  <c r="AR366" i="38" s="1"/>
  <c r="AB149" i="38"/>
  <c r="AE149" i="38" s="1"/>
  <c r="AR149" i="38" s="1"/>
  <c r="AJ12" i="38"/>
  <c r="AM47" i="38"/>
  <c r="D80" i="27"/>
  <c r="H14" i="38"/>
  <c r="J14" i="38"/>
  <c r="AE14" i="38"/>
  <c r="AR14" i="38" s="1"/>
  <c r="J45" i="38"/>
  <c r="H45" i="38"/>
  <c r="AQ45" i="38"/>
  <c r="AR45" i="38" s="1"/>
  <c r="AP13" i="38"/>
  <c r="AB13" i="38"/>
  <c r="J27" i="38"/>
  <c r="H27" i="38"/>
  <c r="Q28" i="50" l="1"/>
  <c r="I24" i="27" s="1"/>
  <c r="M27" i="50"/>
  <c r="M28" i="50" s="1"/>
  <c r="I27" i="50"/>
  <c r="I28" i="50" s="1"/>
  <c r="K27" i="50"/>
  <c r="K28" i="50" s="1"/>
  <c r="O11" i="50"/>
  <c r="O28" i="50" s="1"/>
  <c r="AR383" i="38"/>
  <c r="AI345" i="38"/>
  <c r="AF327" i="38"/>
  <c r="E327" i="38"/>
  <c r="F327" i="38" s="1"/>
  <c r="H327" i="38" s="1"/>
  <c r="H385" i="38"/>
  <c r="J385" i="38"/>
  <c r="J383" i="38"/>
  <c r="H383" i="38"/>
  <c r="H277" i="38"/>
  <c r="J277" i="38"/>
  <c r="H224" i="38"/>
  <c r="J224" i="38"/>
  <c r="J201" i="38"/>
  <c r="H201" i="38"/>
  <c r="J191" i="38"/>
  <c r="H191" i="38"/>
  <c r="AO222" i="38"/>
  <c r="AQ222" i="38" s="1"/>
  <c r="AQ223" i="38"/>
  <c r="AR223" i="38" s="1"/>
  <c r="AO190" i="38"/>
  <c r="AQ199" i="38"/>
  <c r="AR199" i="38" s="1"/>
  <c r="H267" i="38"/>
  <c r="J267" i="38"/>
  <c r="AE191" i="38"/>
  <c r="AR191" i="38" s="1"/>
  <c r="AC190" i="38"/>
  <c r="F223" i="38"/>
  <c r="D222" i="38"/>
  <c r="F222" i="38" s="1"/>
  <c r="D190" i="38"/>
  <c r="F199" i="38"/>
  <c r="H192" i="38"/>
  <c r="J192" i="38"/>
  <c r="AB47" i="38"/>
  <c r="AE47" i="38" s="1"/>
  <c r="AR47" i="38" s="1"/>
  <c r="F345" i="38"/>
  <c r="J345" i="38" s="1"/>
  <c r="AE327" i="38"/>
  <c r="AB222" i="38"/>
  <c r="AE222" i="38" s="1"/>
  <c r="AE312" i="38"/>
  <c r="AR312" i="38" s="1"/>
  <c r="AO327" i="38"/>
  <c r="AQ345" i="38"/>
  <c r="AM345" i="38"/>
  <c r="AJ327" i="38"/>
  <c r="AM327" i="38" s="1"/>
  <c r="AE345" i="38"/>
  <c r="AR350" i="38"/>
  <c r="AB106" i="38"/>
  <c r="AM12" i="38"/>
  <c r="AP12" i="38"/>
  <c r="AP566" i="38" s="1"/>
  <c r="AQ13" i="38"/>
  <c r="Q31" i="50" l="1"/>
  <c r="J327" i="38"/>
  <c r="AI327" i="38"/>
  <c r="AF566" i="38"/>
  <c r="AR222" i="38"/>
  <c r="F190" i="38"/>
  <c r="D106" i="38"/>
  <c r="J223" i="38"/>
  <c r="H223" i="38"/>
  <c r="AO106" i="38"/>
  <c r="AQ106" i="38" s="1"/>
  <c r="AQ190" i="38"/>
  <c r="H199" i="38"/>
  <c r="J199" i="38"/>
  <c r="H222" i="38"/>
  <c r="J222" i="38"/>
  <c r="AE190" i="38"/>
  <c r="AC106" i="38"/>
  <c r="AE106" i="38" s="1"/>
  <c r="AB12" i="38"/>
  <c r="AB566" i="38" s="1"/>
  <c r="H345" i="38"/>
  <c r="AJ566" i="38"/>
  <c r="AR345" i="38"/>
  <c r="AQ327" i="38"/>
  <c r="AQ12" i="38"/>
  <c r="D5" i="9"/>
  <c r="C6" i="27" s="1"/>
  <c r="C80" i="27"/>
  <c r="AR106" i="38" l="1"/>
  <c r="AR327" i="38"/>
  <c r="AR190" i="38"/>
  <c r="AO566" i="38"/>
  <c r="F106" i="38"/>
  <c r="D566" i="38"/>
  <c r="F8" i="27" s="1"/>
  <c r="J190" i="38"/>
  <c r="H190" i="38"/>
  <c r="D40" i="27"/>
  <c r="D57" i="27" s="1"/>
  <c r="Y28" i="38"/>
  <c r="J106" i="38" l="1"/>
  <c r="H106" i="38"/>
  <c r="AD29" i="38"/>
  <c r="AE29" i="38" s="1"/>
  <c r="AR29" i="38" s="1"/>
  <c r="Y29" i="38"/>
  <c r="Y13" i="38" s="1"/>
  <c r="Y12" i="38" s="1"/>
  <c r="Y566" i="38" s="1"/>
  <c r="AC28" i="38"/>
  <c r="AE28" i="38" s="1"/>
  <c r="AR28" i="38" s="1"/>
  <c r="E28" i="38"/>
  <c r="F28" i="38" s="1"/>
  <c r="AC21" i="38"/>
  <c r="R27" i="34"/>
  <c r="R30" i="34" l="1"/>
  <c r="R35" i="34"/>
  <c r="L27" i="34"/>
  <c r="J27" i="34"/>
  <c r="N27" i="34"/>
  <c r="P27" i="34"/>
  <c r="D5" i="8"/>
  <c r="C5" i="27" s="1"/>
  <c r="C13" i="27" s="1"/>
  <c r="AD13" i="38"/>
  <c r="AD12" i="38" s="1"/>
  <c r="AD566" i="38" s="1"/>
  <c r="J28" i="38"/>
  <c r="H28" i="38"/>
  <c r="F21" i="38"/>
  <c r="E13" i="38"/>
  <c r="AE21" i="38"/>
  <c r="AR21" i="38" s="1"/>
  <c r="AC13" i="38"/>
  <c r="F560" i="38"/>
  <c r="AC12" i="38" l="1"/>
  <c r="AC566" i="38" s="1"/>
  <c r="AE13" i="38"/>
  <c r="AR13" i="38" s="1"/>
  <c r="E12" i="38"/>
  <c r="E566" i="38" s="1"/>
  <c r="F9" i="27" s="1"/>
  <c r="F13" i="38"/>
  <c r="J21" i="38"/>
  <c r="H21" i="38"/>
  <c r="H560" i="38"/>
  <c r="AE12" i="38" l="1"/>
  <c r="AR12" i="38" s="1"/>
  <c r="F12" i="38"/>
  <c r="J12" i="38" s="1"/>
  <c r="F566" i="38"/>
  <c r="F10" i="27" s="1"/>
  <c r="J13" i="38"/>
  <c r="H13" i="38"/>
  <c r="J560" i="38"/>
  <c r="H12" i="38" l="1"/>
  <c r="H566" i="38"/>
  <c r="J566" i="38"/>
  <c r="AE560" i="38" l="1"/>
  <c r="AE566" i="38" l="1"/>
  <c r="AI560" i="38" l="1"/>
  <c r="AI566" i="38" l="1"/>
  <c r="AM560" i="38" l="1"/>
  <c r="AM566" i="38" l="1"/>
  <c r="AQ560" i="38" l="1"/>
  <c r="AR560" i="38" s="1"/>
  <c r="AQ566" i="38" l="1"/>
  <c r="AR566" i="38" s="1"/>
  <c r="F11" i="27"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R542" i="38"/>
  <c r="X542" i="38"/>
  <c r="S542" i="38"/>
  <c r="N542" i="38"/>
  <c r="L542" i="38"/>
  <c r="U542" i="38"/>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T490" i="38"/>
  <c r="T489" i="38" s="1"/>
  <c r="P150" i="38"/>
  <c r="P215" i="38"/>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R165" i="38"/>
  <c r="M108" i="38"/>
  <c r="W165" i="38"/>
  <c r="U165" i="38"/>
  <c r="N108" i="38"/>
  <c r="V165" i="38"/>
  <c r="W486" i="38"/>
  <c r="W485" i="38" s="1"/>
  <c r="Q119" i="38"/>
  <c r="T150" i="38"/>
  <c r="T149" i="38" s="1"/>
  <c r="W119" i="38"/>
  <c r="P460" i="38"/>
  <c r="P459" i="38" s="1"/>
  <c r="T208" i="38"/>
  <c r="T207" i="38" s="1"/>
  <c r="W313" i="38"/>
  <c r="P134" i="38"/>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Q510" i="38"/>
  <c r="Q509" i="38" s="1"/>
  <c r="P48" i="38"/>
  <c r="P468" i="38"/>
  <c r="P467" i="38" s="1"/>
  <c r="Q268" i="38"/>
  <c r="Q267" i="38" s="1"/>
  <c r="T313" i="38"/>
  <c r="T312" i="38" s="1"/>
  <c r="W460" i="38"/>
  <c r="W236" i="38"/>
  <c r="T261" i="38"/>
  <c r="T260" i="38" s="1"/>
  <c r="W150" i="38"/>
  <c r="X208" i="38"/>
  <c r="O542" i="38"/>
  <c r="K542" i="38"/>
  <c r="X165" i="38"/>
  <c r="K108" i="38"/>
  <c r="O165" i="38"/>
  <c r="S108" i="38"/>
  <c r="T165" i="38"/>
  <c r="P108" i="38"/>
  <c r="Q244" i="38"/>
  <c r="Q243" i="38" s="1"/>
  <c r="Q90" i="38"/>
  <c r="W384" i="38"/>
  <c r="W383" i="38" s="1"/>
  <c r="Q108" i="38"/>
  <c r="Q107" i="38" s="1"/>
  <c r="R528" i="38"/>
  <c r="S346" i="38"/>
  <c r="AA460" i="38"/>
  <c r="R384" i="38"/>
  <c r="S119" i="38"/>
  <c r="O313" i="38"/>
  <c r="S510" i="38"/>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P97" i="38"/>
  <c r="P96" i="38" s="1"/>
  <c r="W490" i="38"/>
  <c r="W489" i="38" s="1"/>
  <c r="T215" i="38"/>
  <c r="T214" i="38" s="1"/>
  <c r="U528" i="38"/>
  <c r="U486" i="38"/>
  <c r="X215" i="38"/>
  <c r="O208" i="38"/>
  <c r="V561" i="38"/>
  <c r="N208" i="38"/>
  <c r="V268" i="38"/>
  <c r="P528" i="38"/>
  <c r="P527" i="38" s="1"/>
  <c r="S468" i="38"/>
  <c r="M468" i="38"/>
  <c r="L460" i="38"/>
  <c r="L528" i="38"/>
  <c r="L561" i="38"/>
  <c r="N528" i="38"/>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V261" i="38"/>
  <c r="R134" i="38"/>
  <c r="X200" i="38"/>
  <c r="L244" i="38"/>
  <c r="K134" i="38"/>
  <c r="V215" i="38"/>
  <c r="L165" i="38"/>
  <c r="M165" i="38"/>
  <c r="Q165" i="38"/>
  <c r="U108" i="38"/>
  <c r="N165" i="38"/>
  <c r="V108" i="38"/>
  <c r="T528" i="38"/>
  <c r="T527" i="38" s="1"/>
  <c r="Q48" i="38"/>
  <c r="W268" i="38"/>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108" i="38"/>
  <c r="W107" i="38" s="1"/>
  <c r="Q261" i="38"/>
  <c r="Q260" i="38" s="1"/>
  <c r="T90" i="38"/>
  <c r="T89" i="38" s="1"/>
  <c r="P244" i="38"/>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Q390" i="38"/>
  <c r="Q389" i="38" s="1"/>
  <c r="T108" i="38"/>
  <c r="T107" i="38" s="1"/>
  <c r="P268" i="38"/>
  <c r="AA528" i="38"/>
  <c r="N215" i="38"/>
  <c r="R486" i="38"/>
  <c r="X528" i="38"/>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Q236" i="38"/>
  <c r="Q235" i="38" s="1"/>
  <c r="T84" i="38"/>
  <c r="T83" i="38" s="1"/>
  <c r="X468" i="38"/>
  <c r="V468" i="38"/>
  <c r="W399" i="38"/>
  <c r="X14" i="38"/>
  <c r="AA192" i="38"/>
  <c r="O501" i="38"/>
  <c r="V329" i="38"/>
  <c r="O224" i="38"/>
  <c r="Q399" i="38"/>
  <c r="Q398" i="38" s="1"/>
  <c r="U14" i="38"/>
  <c r="M346" i="38"/>
  <c r="U399" i="38"/>
  <c r="M501" i="38"/>
  <c r="Q14" i="38"/>
  <c r="Q13" i="38" s="1"/>
  <c r="N346" i="38"/>
  <c r="Q501" i="38"/>
  <c r="Q500" i="38" s="1"/>
  <c r="W224" i="38"/>
  <c r="L501" i="38"/>
  <c r="X192" i="38"/>
  <c r="K399" i="38"/>
  <c r="AA224" i="38"/>
  <c r="T501" i="38"/>
  <c r="T500" i="38" s="1"/>
  <c r="P329" i="38"/>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S329" i="38"/>
  <c r="X224" i="38"/>
  <c r="P224" i="38"/>
  <c r="AA501" i="38"/>
  <c r="T192" i="38"/>
  <c r="T191" i="38" s="1"/>
  <c r="T190" i="38" s="1"/>
  <c r="Q192" i="38"/>
  <c r="Q191" i="38" s="1"/>
  <c r="N501" i="38"/>
  <c r="X501" i="38"/>
  <c r="R224" i="38"/>
  <c r="U329" i="38"/>
  <c r="R346" i="38"/>
  <c r="R501" i="38"/>
  <c r="L224" i="38"/>
  <c r="W192" i="38"/>
  <c r="W191" i="38" s="1"/>
  <c r="W190" i="38" s="1"/>
  <c r="AA329" i="38"/>
  <c r="R399" i="38"/>
  <c r="M399" i="38"/>
  <c r="N399" i="38"/>
  <c r="U501" i="38"/>
  <c r="O528" i="38"/>
  <c r="S561" i="38"/>
  <c r="M528" i="38"/>
  <c r="AA84" i="38"/>
  <c r="AA236" i="38"/>
  <c r="K48" i="38"/>
  <c r="R236" i="38"/>
  <c r="L236" i="38"/>
  <c r="Q200" i="38"/>
  <c r="Q199" i="38" s="1"/>
  <c r="Q528" i="38"/>
  <c r="Q527" i="38" s="1"/>
  <c r="P119" i="38"/>
  <c r="P90" i="38"/>
  <c r="P89" i="38" s="1"/>
  <c r="Q384" i="38"/>
  <c r="Q383" i="38" s="1"/>
  <c r="T468" i="38"/>
  <c r="T467" i="38" s="1"/>
  <c r="W346" i="38"/>
  <c r="Q490" i="38"/>
  <c r="R468" i="38"/>
  <c r="AA561" i="38"/>
  <c r="W501" i="38"/>
  <c r="W500" i="38" s="1"/>
  <c r="T329" i="38"/>
  <c r="T328" i="38" s="1"/>
  <c r="P501" i="38"/>
  <c r="P500" i="38" s="1"/>
  <c r="W14" i="38"/>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V14" i="38"/>
  <c r="V192" i="38"/>
  <c r="L192" i="38"/>
  <c r="S14" i="38"/>
  <c r="L329" i="38"/>
  <c r="P118" i="38" l="1"/>
  <c r="W47" i="38"/>
  <c r="P235" i="38"/>
  <c r="W267" i="38"/>
  <c r="N527" i="38"/>
  <c r="W149" i="38"/>
  <c r="W235" i="38"/>
  <c r="W312" i="38"/>
  <c r="P149" i="38"/>
  <c r="W133" i="38"/>
  <c r="M527" i="38"/>
  <c r="X500" i="38"/>
  <c r="K500" i="38"/>
  <c r="L500" i="38"/>
  <c r="S509" i="38"/>
  <c r="R527" i="38"/>
  <c r="O541" i="38"/>
  <c r="L383" i="38"/>
  <c r="U541" i="38"/>
  <c r="N541" i="38"/>
  <c r="X541" i="38"/>
  <c r="M541" i="38"/>
  <c r="P243" i="38"/>
  <c r="Q89" i="38"/>
  <c r="W459" i="38"/>
  <c r="Q118" i="38"/>
  <c r="P214" i="38"/>
  <c r="W328" i="38"/>
  <c r="W13" i="38"/>
  <c r="Q489" i="38"/>
  <c r="Q397" i="38" s="1"/>
  <c r="U500" i="38"/>
  <c r="P223" i="38"/>
  <c r="P328" i="38"/>
  <c r="W223" i="38"/>
  <c r="W398" i="38"/>
  <c r="W397" i="38" s="1"/>
  <c r="X527" i="38"/>
  <c r="P267" i="38"/>
  <c r="W527" i="38"/>
  <c r="W526" i="38" s="1"/>
  <c r="Q47" i="38"/>
  <c r="S383" i="38"/>
  <c r="W243" i="38"/>
  <c r="P107" i="38"/>
  <c r="K541" i="38"/>
  <c r="P47" i="38"/>
  <c r="P12" i="38" s="1"/>
  <c r="W389" i="38"/>
  <c r="P133" i="38"/>
  <c r="W118" i="38"/>
  <c r="V541" i="38"/>
  <c r="L541" i="38"/>
  <c r="S541" i="38"/>
  <c r="R541" i="38"/>
  <c r="AA541" i="38"/>
  <c r="S527" i="38"/>
  <c r="R489" i="38"/>
  <c r="P190" i="38"/>
  <c r="Q190" i="38"/>
  <c r="K527" i="38"/>
  <c r="K526" i="38" s="1"/>
  <c r="U527" i="38"/>
  <c r="K389" i="38"/>
  <c r="O500" i="38"/>
  <c r="AA527" i="38"/>
  <c r="V527" i="38"/>
  <c r="V526" i="38" s="1"/>
  <c r="AA500" i="38"/>
  <c r="L527" i="38"/>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s="1"/>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Q222" i="38"/>
  <c r="T526" i="38"/>
  <c r="Q526" i="38"/>
  <c r="V89" i="38"/>
  <c r="O149" i="38"/>
  <c r="R398" i="38"/>
  <c r="X328" i="38"/>
  <c r="N13" i="38"/>
  <c r="O133" i="38"/>
  <c r="L107" i="38"/>
  <c r="M389" i="38"/>
  <c r="AA96" i="38"/>
  <c r="V207" i="38"/>
  <c r="W499" i="38"/>
  <c r="M13" i="38"/>
  <c r="R107" i="38"/>
  <c r="N164" i="38"/>
  <c r="X485" i="38"/>
  <c r="V164" i="38"/>
  <c r="M118" i="38"/>
  <c r="AA89" i="38"/>
  <c r="M149" i="38"/>
  <c r="O214" i="38"/>
  <c r="N89" i="38"/>
  <c r="S164" i="38"/>
  <c r="K47" i="38"/>
  <c r="K328" i="38"/>
  <c r="L485" i="38"/>
  <c r="M328" i="38"/>
  <c r="AA223" i="38"/>
  <c r="X83" i="38"/>
  <c r="N149" i="38"/>
  <c r="U243" i="38"/>
  <c r="X214" i="38"/>
  <c r="V133" i="38"/>
  <c r="AA118" i="38"/>
  <c r="V389" i="38"/>
  <c r="O107" i="38"/>
  <c r="N96" i="38"/>
  <c r="L89" i="38"/>
  <c r="K207" i="38"/>
  <c r="K199" i="38"/>
  <c r="K560" i="38"/>
  <c r="S89" i="38"/>
  <c r="V96"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T397" i="38"/>
  <c r="U47" i="38"/>
  <c r="X47"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N526" i="38" l="1"/>
  <c r="W12" i="38"/>
  <c r="X526" i="38"/>
  <c r="U526" i="38"/>
  <c r="M526" i="38"/>
  <c r="R526" i="38"/>
  <c r="Q12" i="38"/>
  <c r="S526" i="38"/>
  <c r="W222" i="38"/>
  <c r="P222" i="38"/>
  <c r="L526" i="38"/>
  <c r="AA526" i="38"/>
  <c r="S190" i="38"/>
  <c r="V190" i="38"/>
  <c r="V106" i="38" s="1"/>
  <c r="R190" i="38"/>
  <c r="R106" i="38" s="1"/>
  <c r="M190" i="38"/>
  <c r="M106" i="38" s="1"/>
  <c r="N190" i="38"/>
  <c r="N106" i="38" s="1"/>
  <c r="L190" i="38"/>
  <c r="L106" i="38" s="1"/>
  <c r="O190" i="38"/>
  <c r="O106" i="38" s="1"/>
  <c r="X190" i="38"/>
  <c r="X106" i="38" s="1"/>
  <c r="K190" i="38"/>
  <c r="K106" i="38" s="1"/>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 r="N16" i="45"/>
  <c r="L16" i="45"/>
  <c r="J16" i="45"/>
  <c r="P16" i="45"/>
  <c r="Q21" i="45" l="1"/>
  <c r="P17" i="34"/>
  <c r="L17" i="34"/>
  <c r="J17" i="34"/>
  <c r="J30" i="34" s="1"/>
  <c r="N18" i="34"/>
  <c r="N30" i="34" s="1"/>
  <c r="P30" i="34"/>
  <c r="L18" i="34"/>
  <c r="L30" i="34" s="1"/>
  <c r="I22" i="27"/>
  <c r="I25" i="27" s="1"/>
  <c r="I27" i="27" s="1"/>
  <c r="Q37" i="34" l="1"/>
</calcChain>
</file>

<file path=xl/comments1.xml><?xml version="1.0" encoding="utf-8"?>
<comments xmlns="http://schemas.openxmlformats.org/spreadsheetml/2006/main">
  <authors>
    <author>karlaflores</author>
    <author>.....</author>
    <author>Alejandro Carías</author>
  </authors>
  <commentList>
    <comment ref="U7" authorId="0" shapeId="0">
      <text>
        <r>
          <rPr>
            <sz val="9"/>
            <color indexed="81"/>
            <rFont val="Tahoma"/>
            <family val="2"/>
          </rPr>
          <t xml:space="preserve">
.....:
Indicar donde y en que forma se pueden encontrar las informaciones que permitan verificar el cumplimiento de los resultados </t>
        </r>
      </text>
    </comment>
    <comment ref="X7" authorId="0" shape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shapeId="0">
      <text>
        <r>
          <rPr>
            <b/>
            <sz val="9"/>
            <color indexed="81"/>
            <rFont val="Tahoma"/>
            <family val="2"/>
          </rPr>
          <t>….:
Descripción y cantidad de la población objetivo para el año</t>
        </r>
      </text>
    </comment>
    <comment ref="AC7" authorId="1" shapeId="0">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shape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shapeId="0">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0002</author>
  </authors>
  <commentList>
    <comment ref="E7" authorId="0" shapeId="0">
      <text>
        <r>
          <rPr>
            <b/>
            <sz val="9"/>
            <color indexed="81"/>
            <rFont val="Tahoma"/>
            <family val="2"/>
          </rPr>
          <t>Recuerde que los resultados deben de redactarse con el verbo en pasado.</t>
        </r>
      </text>
    </comment>
    <comment ref="F7" authorId="0" shapeId="0">
      <text>
        <r>
          <rPr>
            <b/>
            <sz val="9"/>
            <color indexed="81"/>
            <rFont val="Tahoma"/>
            <family val="2"/>
          </rPr>
          <t xml:space="preserve">el indicador debe de coincidir con la forma en se va a medir la actividad por ejemplo
numero tiene que poner la cantidad en los trimestres </t>
        </r>
      </text>
    </comment>
    <comment ref="E8" authorId="0" shapeId="0">
      <text>
        <r>
          <rPr>
            <sz val="9"/>
            <color indexed="81"/>
            <rFont val="Tahoma"/>
            <family val="2"/>
          </rPr>
          <t xml:space="preserve">Recuerde que los resultados deben de redactarse con el verbo en pasado.
</t>
        </r>
      </text>
    </comment>
    <comment ref="F8" authorId="0" shapeId="0">
      <text>
        <r>
          <rPr>
            <b/>
            <sz val="9"/>
            <color indexed="81"/>
            <rFont val="Tahoma"/>
            <family val="2"/>
          </rPr>
          <t xml:space="preserve">el indicador debe de coincidir con la forma en se va a medir la actividad por ejemplo
numero tiene que poner la cantidad en los trimestres </t>
        </r>
      </text>
    </comment>
    <comment ref="F9" authorId="0" shapeId="0">
      <text>
        <r>
          <rPr>
            <b/>
            <sz val="9"/>
            <color indexed="81"/>
            <rFont val="Tahoma"/>
            <family val="2"/>
          </rPr>
          <t>En esta actividad, el indicador debe de ser la forma en que va a medir la gestion o los fondos aprobados que seria el 100% en el o en los trimestre que usted estime conveniente.
Lo que usted tiene escrito ya es parte del resultado</t>
        </r>
      </text>
    </comment>
    <comment ref="E10" authorId="0" shapeId="0">
      <text>
        <r>
          <rPr>
            <b/>
            <sz val="9"/>
            <color indexed="81"/>
            <rFont val="Tahoma"/>
            <family val="2"/>
          </rPr>
          <t>Recuerde que los resulotados deben de redactarse con el verbo en pasado.</t>
        </r>
      </text>
    </comment>
    <comment ref="E11" authorId="0" shapeId="0">
      <text>
        <r>
          <rPr>
            <b/>
            <sz val="9"/>
            <color indexed="81"/>
            <rFont val="Tahoma"/>
            <family val="2"/>
          </rPr>
          <t>Recuerde que los resulotados deben de redactarse con el verbo en pasado.</t>
        </r>
      </text>
    </comment>
    <comment ref="E12" authorId="0" shapeId="0">
      <text>
        <r>
          <rPr>
            <b/>
            <sz val="9"/>
            <color indexed="81"/>
            <rFont val="Tahoma"/>
            <family val="2"/>
          </rPr>
          <t>Recuerde que los resulotados deben de redactarse con el verbo en pasado.</t>
        </r>
      </text>
    </comment>
  </commentList>
</comments>
</file>

<file path=xl/comments3.xml><?xml version="1.0" encoding="utf-8"?>
<comments xmlns="http://schemas.openxmlformats.org/spreadsheetml/2006/main">
  <authors>
    <author>0002</author>
  </authors>
  <commentList>
    <comment ref="F11" authorId="0" shapeId="0">
      <text>
        <r>
          <rPr>
            <b/>
            <sz val="9"/>
            <color indexed="81"/>
            <rFont val="Tahoma"/>
            <family val="2"/>
          </rPr>
          <t xml:space="preserve">el indicador debe de coincidir con la forma en se va a medir la actividad por ejemplo
numero de talleres tiene que poner la cantidad en los trimestres </t>
        </r>
      </text>
    </comment>
    <comment ref="F14" authorId="0" shapeId="0">
      <text>
        <r>
          <rPr>
            <b/>
            <sz val="9"/>
            <color indexed="81"/>
            <rFont val="Tahoma"/>
            <family val="2"/>
          </rPr>
          <t xml:space="preserve">el indicador debe de coincidir con la forma en se va a medir la actividad por ejemplo
numero tiene que poner la cantidad en los trimestres </t>
        </r>
      </text>
    </comment>
  </commentList>
</comments>
</file>

<file path=xl/sharedStrings.xml><?xml version="1.0" encoding="utf-8"?>
<sst xmlns="http://schemas.openxmlformats.org/spreadsheetml/2006/main" count="14367" uniqueCount="1951">
  <si>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</si>
  <si>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</si>
  <si>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</si>
  <si>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</si>
  <si>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</si>
  <si>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</si>
  <si>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</si>
  <si>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</si>
  <si>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</si>
  <si>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</si>
  <si>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</si>
  <si>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</si>
  <si>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</si>
  <si>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</si>
  <si>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</si>
  <si>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</si>
  <si>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</si>
  <si>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</si>
  <si>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</si>
  <si>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</si>
  <si>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</si>
  <si>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</si>
  <si>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</si>
  <si>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</si>
  <si>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</si>
  <si>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</si>
  <si>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</si>
  <si>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</si>
  <si>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</si>
  <si>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</si>
  <si>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</si>
  <si>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</si>
  <si>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</si>
  <si>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</si>
  <si>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</si>
  <si>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</si>
  <si>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</si>
  <si>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</si>
  <si>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</si>
  <si>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</si>
  <si>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</si>
  <si>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</si>
  <si>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</si>
  <si>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</si>
  <si>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</si>
  <si>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</si>
  <si>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</si>
  <si>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</si>
  <si>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</si>
  <si>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</si>
  <si>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</si>
  <si>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</si>
  <si>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</si>
  <si>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</si>
  <si>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</si>
  <si>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</si>
  <si>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</si>
  <si>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</si>
  <si>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</si>
  <si>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</si>
  <si>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</si>
  <si>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</si>
  <si>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</si>
  <si>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</si>
  <si>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</si>
  <si>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</si>
  <si>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</si>
  <si>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</si>
  <si>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</si>
  <si>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</si>
  <si>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</si>
  <si>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</si>
  <si>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</si>
  <si>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</si>
  <si>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</si>
  <si>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</si>
  <si>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</si>
  <si>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</si>
  <si>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</si>
  <si>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</si>
  <si>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</si>
  <si>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</si>
  <si>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</si>
  <si>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</si>
  <si>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</si>
  <si>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</si>
  <si>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</si>
  <si>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</si>
  <si>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</si>
  <si>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</si>
  <si>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</si>
  <si>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</si>
  <si>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</si>
  <si>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</si>
  <si>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</si>
  <si>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</si>
  <si>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</si>
  <si>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</si>
  <si>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</si>
  <si>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</si>
  <si>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</si>
  <si>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</si>
  <si>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</si>
  <si>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</si>
  <si>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</si>
  <si>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</si>
  <si>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</si>
  <si>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</si>
  <si>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</si>
  <si>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</si>
  <si>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</si>
  <si>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</si>
  <si>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</si>
  <si>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</si>
  <si>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</si>
  <si>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</si>
  <si>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</si>
  <si>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</si>
  <si>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</si>
  <si>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</si>
  <si>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</si>
  <si>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</si>
  <si>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</si>
  <si>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</si>
  <si>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</si>
  <si>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</si>
  <si>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</si>
  <si>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</si>
  <si>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</si>
  <si>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</si>
  <si>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</si>
  <si>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</si>
  <si>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</si>
  <si>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</si>
  <si>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</si>
  <si>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</si>
  <si>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</si>
  <si>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</si>
  <si>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</si>
  <si>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</si>
  <si>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</si>
  <si>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</si>
  <si>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</si>
  <si>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</si>
  <si>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</si>
  <si>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</si>
  <si>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</si>
  <si>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</si>
  <si>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</si>
  <si>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</si>
  <si>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</si>
  <si>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</si>
  <si>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</si>
  <si>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</si>
  <si>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</si>
  <si>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</si>
  <si>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</si>
  <si>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</si>
  <si>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</si>
  <si>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</si>
  <si>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</si>
  <si>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</si>
  <si>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</si>
  <si>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</si>
  <si>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</si>
  <si>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</si>
  <si>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</si>
  <si>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</si>
  <si>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</si>
  <si>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</si>
  <si>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</si>
  <si>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</si>
  <si>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</si>
  <si>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</si>
  <si>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</si>
  <si>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</si>
  <si>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</si>
  <si>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</si>
  <si>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</si>
  <si>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</si>
  <si>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</si>
  <si>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</si>
  <si>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</si>
  <si>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</si>
  <si>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</si>
  <si>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</si>
  <si>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</si>
  <si>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</si>
  <si>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</si>
  <si>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</si>
  <si>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</si>
  <si>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</si>
  <si>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</si>
  <si>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</si>
  <si>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</si>
  <si>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</si>
  <si>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</si>
  <si>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</si>
  <si>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</si>
  <si>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</si>
  <si>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</si>
  <si>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</si>
  <si>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</si>
  <si>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</si>
  <si>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</si>
  <si>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</si>
  <si>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</si>
  <si>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</si>
  <si>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</si>
  <si>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</si>
  <si>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</si>
  <si>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</si>
  <si>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</si>
  <si>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</si>
  <si>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</si>
  <si>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</si>
  <si>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</si>
  <si>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</si>
  <si>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</si>
  <si>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</si>
  <si>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</si>
  <si>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</si>
  <si>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</si>
  <si>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</si>
  <si>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</si>
  <si>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</si>
  <si>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</si>
  <si>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</si>
  <si>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</si>
  <si>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</si>
  <si>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</si>
  <si>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</si>
  <si>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</si>
  <si>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</si>
  <si>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</si>
  <si>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</si>
  <si>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</si>
  <si>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</si>
  <si>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</si>
  <si>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</si>
  <si>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</si>
  <si>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</si>
  <si>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</si>
  <si>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</si>
  <si>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</si>
  <si>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</si>
  <si>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</si>
  <si>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</si>
  <si>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</si>
  <si>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</si>
  <si>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</si>
  <si>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</si>
  <si>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</si>
  <si>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</si>
  <si>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</si>
  <si>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</si>
  <si>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</si>
  <si>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</si>
  <si>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</si>
  <si>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</si>
  <si>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</si>
  <si>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</si>
  <si>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</si>
  <si>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</si>
  <si>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</si>
  <si>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</si>
  <si>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</si>
  <si>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</si>
  <si>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</si>
  <si>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</si>
  <si>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</si>
  <si>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</si>
  <si>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</si>
  <si>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</si>
  <si>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</si>
  <si>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</si>
  <si>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</si>
  <si>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</si>
  <si>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</si>
  <si>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</si>
  <si>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</si>
  <si>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</si>
  <si>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</si>
  <si>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</si>
  <si>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</si>
  <si>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</si>
  <si>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</si>
  <si>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</si>
  <si>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</si>
  <si>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</si>
  <si>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</si>
  <si>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</si>
  <si>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</si>
  <si>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</si>
  <si>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</si>
  <si>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</si>
  <si>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</si>
  <si>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</si>
  <si>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</si>
  <si>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</si>
  <si>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</si>
  <si>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</si>
  <si>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</si>
  <si>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</si>
  <si>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</si>
  <si>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</si>
  <si>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</si>
  <si>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</si>
  <si>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</si>
  <si>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</si>
  <si>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</si>
  <si>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</si>
  <si>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</si>
  <si>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</si>
  <si>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</si>
  <si>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</si>
  <si>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</si>
  <si>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</si>
  <si>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</si>
  <si>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</si>
  <si>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</si>
  <si>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</si>
  <si>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</si>
  <si>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</si>
  <si>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</si>
  <si>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</si>
  <si>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</si>
  <si>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</si>
  <si>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</si>
  <si>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</si>
  <si>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</si>
  <si>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</si>
  <si>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</si>
  <si>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</si>
  <si>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</si>
  <si>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</si>
  <si>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</si>
  <si>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</si>
  <si>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</si>
  <si>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</si>
  <si>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</si>
  <si>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</si>
  <si>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</si>
  <si>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</si>
  <si>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</si>
  <si>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</si>
  <si>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</si>
  <si>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</si>
  <si>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</si>
  <si>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</si>
  <si>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</si>
  <si>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</si>
  <si>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</si>
  <si>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</si>
  <si>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</si>
  <si>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</si>
  <si>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</si>
  <si>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</si>
  <si>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</si>
  <si>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</si>
  <si>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</si>
  <si>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</si>
  <si>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</si>
  <si>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</si>
  <si>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</si>
  <si>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</si>
  <si>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</si>
  <si>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</si>
  <si>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</si>
  <si>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</si>
  <si>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</si>
  <si>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</si>
  <si>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</si>
  <si>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</si>
  <si>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</si>
  <si>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</si>
  <si>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</si>
  <si>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</si>
  <si>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</si>
  <si>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</si>
  <si>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</si>
  <si>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</si>
  <si>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</si>
  <si>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</si>
  <si>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</si>
  <si>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</si>
  <si>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</si>
  <si>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</si>
  <si>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</si>
  <si>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</si>
  <si>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</si>
  <si>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</si>
  <si>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</si>
  <si>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</si>
  <si>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</si>
  <si>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</si>
  <si>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</si>
  <si>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</si>
  <si>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</si>
  <si>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</si>
  <si>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</si>
  <si>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</si>
  <si>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</si>
  <si>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</si>
  <si>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</si>
  <si>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</si>
  <si>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</si>
  <si>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</si>
  <si>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</si>
  <si>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</si>
  <si>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</si>
  <si>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</si>
  <si>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</si>
  <si>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</si>
  <si>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</si>
  <si>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</si>
  <si>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</si>
  <si>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</si>
  <si>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</si>
  <si>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</si>
  <si>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</si>
  <si>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</si>
  <si>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</si>
  <si>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</si>
  <si>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</si>
  <si>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</si>
  <si>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</si>
  <si>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</si>
  <si>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</si>
  <si>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</si>
  <si>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</si>
  <si>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</si>
  <si>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</si>
  <si>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</si>
  <si>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</si>
  <si>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</si>
  <si>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</si>
  <si>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</si>
  <si>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</si>
  <si>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</si>
  <si>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</si>
  <si>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</si>
  <si>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</si>
  <si>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</si>
  <si>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</si>
  <si>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</si>
  <si>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</si>
  <si>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</si>
  <si>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</si>
  <si>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</si>
  <si>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</si>
  <si>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</si>
  <si>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</si>
  <si>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</si>
  <si>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</si>
  <si>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</si>
  <si>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</si>
  <si>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</si>
  <si>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</si>
  <si>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</si>
  <si>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</si>
  <si>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</si>
  <si>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</si>
  <si>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</si>
  <si>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</si>
  <si>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</si>
  <si>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</si>
  <si>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</si>
  <si>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</si>
  <si>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</si>
  <si>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</si>
  <si>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</si>
  <si>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</si>
  <si>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</si>
  <si>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</si>
  <si>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</si>
  <si>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</si>
  <si>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</si>
  <si>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</si>
  <si>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</si>
  <si>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</si>
  <si>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</si>
  <si>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</si>
  <si>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</si>
  <si>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</si>
  <si>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</si>
  <si>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</si>
  <si>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</si>
  <si>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</si>
  <si>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</si>
  <si>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</si>
  <si>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</si>
  <si>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</si>
  <si>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</si>
  <si>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</si>
  <si>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</si>
  <si>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</si>
  <si>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</si>
  <si>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</si>
  <si>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</si>
  <si>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</si>
  <si>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</si>
  <si>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</si>
  <si>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</si>
  <si>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</si>
  <si>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</si>
  <si>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</si>
  <si>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</si>
  <si>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</si>
  <si>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</si>
  <si>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</si>
  <si>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</si>
  <si>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</si>
  <si>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</si>
  <si>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</si>
  <si>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</si>
  <si>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</si>
  <si>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</si>
  <si>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</si>
  <si>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</si>
  <si>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</si>
  <si>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</si>
  <si>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</si>
  <si>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</si>
  <si>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</si>
  <si>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</si>
  <si>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</si>
  <si>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</si>
  <si>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</si>
  <si>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</si>
  <si>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</si>
  <si>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</si>
  <si>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</si>
  <si>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</si>
  <si>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</si>
  <si>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</si>
  <si>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</si>
  <si>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</si>
  <si>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</si>
  <si>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</si>
  <si>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</si>
  <si>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</si>
  <si>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</si>
  <si>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</si>
  <si>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</si>
  <si>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</si>
  <si>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</si>
  <si>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</si>
  <si>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</si>
  <si>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</si>
  <si>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</si>
  <si>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</si>
  <si>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</si>
  <si>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</si>
  <si>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</si>
  <si>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</si>
  <si>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</si>
  <si>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</si>
  <si>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</si>
  <si>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</si>
  <si>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</si>
  <si>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</si>
  <si>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</si>
  <si>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</si>
  <si>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</si>
  <si>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</si>
  <si>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</si>
  <si>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</si>
  <si>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</si>
  <si>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</si>
  <si>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</si>
  <si>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</si>
  <si>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</si>
  <si>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</si>
  <si>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</si>
  <si>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</si>
  <si>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</si>
  <si>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</si>
  <si>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</si>
  <si>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</si>
  <si>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</si>
  <si>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</si>
  <si>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</si>
  <si>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</si>
  <si>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</si>
  <si>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</si>
  <si>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</si>
  <si>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</si>
  <si>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</si>
  <si>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</si>
  <si>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</si>
  <si>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</si>
  <si>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</si>
  <si>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</si>
  <si>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</si>
  <si>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</si>
  <si>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</si>
  <si>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</si>
  <si>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</si>
  <si>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</si>
  <si>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</si>
  <si>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</si>
  <si>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</si>
  <si>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</si>
  <si>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</si>
  <si>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</si>
  <si>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</si>
  <si>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</si>
  <si>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</si>
  <si>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</si>
  <si>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</si>
  <si>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</si>
  <si>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</si>
  <si>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</si>
  <si>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</si>
  <si>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</si>
  <si>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</si>
  <si>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</si>
  <si>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</si>
  <si>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</si>
  <si>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</si>
  <si>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</si>
  <si>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</si>
  <si>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</si>
  <si>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</si>
  <si>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</si>
  <si>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</si>
  <si>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</si>
  <si>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</si>
  <si>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</si>
  <si>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</si>
  <si>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</si>
  <si>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</si>
  <si>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</si>
  <si>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</si>
  <si>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</si>
  <si>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</si>
  <si>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</si>
  <si>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</si>
  <si>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</si>
  <si>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</si>
  <si>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</si>
  <si>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</si>
  <si>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</si>
  <si>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</si>
  <si>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</si>
  <si>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</si>
  <si>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</si>
  <si>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</si>
  <si>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</si>
  <si>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</si>
  <si>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</si>
  <si>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</si>
  <si>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</si>
  <si>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</si>
  <si>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</si>
  <si>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</si>
  <si>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</si>
  <si>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</si>
  <si>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</si>
  <si>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</si>
  <si>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</si>
  <si>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</si>
  <si>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</si>
  <si>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</si>
  <si>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</si>
  <si>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</si>
  <si>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</si>
  <si>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</si>
  <si>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</si>
  <si>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</si>
  <si>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</si>
  <si>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</si>
  <si>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</si>
  <si>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</si>
  <si>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</si>
  <si>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</si>
  <si>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</si>
  <si>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</si>
  <si>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</si>
  <si>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</si>
  <si>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</si>
  <si>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</si>
  <si>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</si>
  <si>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</si>
  <si>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</si>
  <si>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</si>
  <si>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</si>
  <si>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</si>
  <si>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</si>
  <si>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</si>
  <si>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</si>
  <si>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</si>
  <si>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</si>
  <si>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</si>
  <si>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</si>
  <si>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</si>
  <si>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</si>
  <si>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</si>
  <si>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</si>
  <si>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</si>
  <si>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</si>
  <si>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</si>
  <si>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</si>
  <si>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</si>
  <si>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</si>
  <si>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</si>
  <si>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</si>
  <si>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</si>
  <si>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</si>
  <si>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</si>
  <si>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</si>
  <si>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</si>
  <si>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</si>
  <si>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</si>
  <si>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</si>
  <si>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</si>
  <si>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</si>
  <si>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</si>
  <si>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</si>
  <si>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</si>
  <si>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</si>
  <si>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</si>
  <si>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</si>
  <si>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</si>
  <si>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</si>
  <si>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</si>
  <si>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</si>
  <si>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</si>
  <si>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</si>
  <si>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</si>
  <si>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</si>
  <si>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</si>
  <si>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</si>
  <si>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</si>
  <si>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</si>
  <si>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</si>
  <si>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</si>
  <si>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</si>
  <si>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</si>
  <si>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</si>
  <si>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</si>
  <si>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</si>
  <si>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</si>
  <si>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</si>
  <si>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</si>
  <si>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</si>
  <si>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</si>
  <si>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</si>
  <si>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</si>
  <si>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</si>
  <si>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</si>
  <si>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</si>
  <si>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</si>
  <si>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</si>
  <si>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</si>
  <si>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</si>
  <si>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</si>
  <si>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</si>
  <si>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</si>
  <si>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</si>
  <si>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</si>
  <si>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</si>
  <si>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</si>
  <si>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</si>
  <si>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</si>
  <si>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</si>
  <si>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</si>
  <si>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</si>
  <si>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</si>
  <si>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</si>
  <si>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</si>
  <si>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</si>
  <si>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</si>
  <si>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</si>
  <si>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</si>
  <si>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</si>
  <si>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</si>
  <si>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</si>
  <si>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</si>
  <si>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</si>
  <si>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</si>
  <si>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</si>
  <si>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</si>
  <si>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</si>
  <si>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</si>
  <si>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</si>
  <si>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</si>
  <si>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</si>
  <si>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</si>
  <si>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</si>
  <si>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</si>
  <si>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</si>
  <si>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</si>
  <si>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</si>
  <si>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</si>
  <si>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</si>
  <si>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</si>
  <si>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</si>
  <si>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</si>
  <si>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</si>
  <si>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</si>
  <si>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</si>
  <si>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</si>
  <si>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</si>
  <si>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</si>
  <si>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</si>
  <si>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</si>
  <si>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</si>
  <si>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</si>
  <si>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</si>
  <si>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</si>
  <si>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</si>
  <si>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</si>
  <si>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</si>
  <si>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</si>
  <si>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</si>
  <si>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</si>
  <si>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</si>
  <si>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</si>
  <si>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</si>
  <si>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</si>
  <si>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</si>
  <si>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</si>
  <si>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</si>
  <si>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</si>
  <si>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</si>
  <si>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</si>
  <si>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</si>
  <si>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</si>
  <si>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</si>
  <si>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</si>
  <si>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</si>
  <si>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</si>
  <si>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</si>
  <si>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</si>
  <si>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</si>
  <si>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</si>
  <si>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</si>
  <si>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</si>
  <si>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</si>
  <si>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</si>
  <si>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</si>
  <si>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</si>
  <si>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</si>
  <si>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</si>
  <si>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</si>
  <si>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</si>
  <si>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</si>
  <si>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</si>
  <si>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</si>
  <si>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</si>
  <si>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</si>
  <si>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</si>
  <si>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</si>
  <si>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</si>
  <si>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</si>
  <si>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</si>
  <si>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</si>
  <si>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</si>
  <si>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</si>
  <si>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</si>
  <si>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</si>
  <si>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</si>
  <si>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</si>
  <si>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</si>
  <si>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</si>
  <si>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</si>
  <si>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</si>
  <si>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</si>
  <si>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</si>
  <si>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</si>
  <si>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</si>
  <si>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</si>
  <si>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</si>
  <si>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</si>
  <si>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</si>
  <si>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</si>
  <si>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</si>
  <si>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</si>
  <si>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</si>
  <si>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</si>
  <si>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</si>
  <si>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</si>
  <si>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</si>
  <si>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</si>
  <si>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</si>
  <si>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</si>
  <si>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</si>
  <si>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</si>
  <si>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</si>
  <si>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</si>
  <si>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</si>
  <si>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</si>
  <si>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</si>
  <si>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</si>
  <si>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</si>
  <si>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</si>
  <si>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</si>
  <si>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</si>
  <si>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</si>
  <si>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</si>
  <si>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</si>
  <si>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</si>
  <si>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</si>
  <si>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</si>
  <si>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</si>
  <si>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</si>
  <si>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</si>
  <si>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</si>
  <si>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</si>
  <si>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</si>
  <si>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</si>
  <si>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</si>
  <si>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</si>
  <si>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</si>
  <si>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</si>
  <si>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</si>
  <si>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</si>
  <si>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</si>
  <si>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</si>
  <si>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</si>
  <si>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</si>
  <si>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</si>
  <si>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</si>
  <si>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</si>
  <si>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</si>
  <si>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</si>
  <si>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</si>
  <si>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</si>
  <si>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</si>
  <si>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</si>
  <si>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</si>
  <si>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</si>
  <si>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</si>
  <si>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</si>
  <si>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</si>
  <si>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</si>
  <si>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</si>
  <si>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</si>
  <si>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</si>
  <si>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</si>
  <si>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</si>
  <si>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</si>
  <si>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</si>
  <si>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</si>
  <si>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</si>
  <si>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</si>
  <si>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</si>
  <si>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</si>
  <si>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</si>
  <si>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</si>
  <si>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</si>
  <si>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</si>
  <si>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</si>
  <si>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</si>
  <si>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</si>
  <si>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</si>
  <si>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</si>
  <si>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</si>
  <si>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</si>
  <si>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</si>
  <si>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</si>
  <si>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</si>
  <si>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</si>
  <si>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</si>
  <si>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</si>
  <si>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</si>
  <si>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</si>
  <si>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</si>
  <si>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</si>
  <si>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</si>
  <si>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</si>
  <si>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</si>
  <si>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</si>
  <si>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</si>
  <si>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</si>
  <si>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</si>
  <si>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</si>
  <si>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</si>
  <si>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</si>
  <si>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</si>
  <si>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</si>
  <si>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</si>
  <si>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</si>
  <si>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</si>
  <si>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</si>
  <si>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</si>
  <si>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</si>
  <si>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</si>
  <si>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</si>
  <si>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</si>
  <si>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</si>
  <si>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</si>
  <si>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</si>
  <si>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</si>
  <si>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</si>
  <si>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</si>
  <si>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</si>
  <si>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</si>
  <si>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</si>
  <si>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</si>
  <si>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</si>
  <si>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</si>
  <si>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</si>
  <si>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</si>
  <si>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</si>
  <si>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</si>
  <si>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</si>
  <si>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</si>
  <si>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</si>
  <si>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</si>
  <si>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</si>
  <si>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</si>
  <si>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</si>
  <si>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</si>
  <si>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</si>
  <si>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</si>
  <si>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</si>
  <si>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</si>
  <si>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</si>
  <si>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</si>
  <si>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</si>
  <si>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</si>
  <si>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</si>
  <si>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</si>
  <si>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</si>
  <si>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</si>
  <si>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</si>
  <si>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</si>
  <si>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</si>
  <si>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</si>
  <si>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</si>
  <si>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</si>
  <si>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</si>
  <si>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</si>
  <si>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</si>
  <si>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</si>
  <si>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</si>
  <si>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</si>
  <si>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</si>
  <si>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</si>
  <si>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</si>
  <si>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</si>
  <si>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</si>
  <si>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</si>
  <si>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</si>
  <si>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</si>
  <si>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</si>
  <si>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</si>
  <si>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</si>
  <si>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</si>
  <si>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</si>
  <si>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</si>
  <si>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</si>
  <si>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</si>
  <si>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</si>
  <si>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</si>
  <si>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</si>
  <si>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</si>
  <si>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</si>
  <si>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</si>
  <si>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</si>
  <si>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</si>
  <si>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</si>
  <si>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</si>
  <si>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</si>
  <si>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</si>
  <si>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</si>
  <si>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</si>
  <si>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</si>
  <si>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</si>
  <si>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</si>
  <si>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</si>
  <si>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</si>
  <si>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</si>
  <si>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</si>
  <si>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</si>
  <si>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</si>
  <si>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</si>
  <si>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</si>
  <si>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</si>
  <si>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</si>
  <si>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</si>
  <si>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</si>
  <si>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</si>
  <si>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</si>
  <si>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</si>
  <si>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</si>
  <si>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</si>
  <si>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</si>
  <si>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</si>
  <si>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</si>
  <si>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</si>
  <si>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</si>
  <si>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</si>
  <si>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</si>
  <si>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</si>
  <si>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</si>
  <si>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</si>
  <si>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</si>
  <si>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</si>
  <si>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</si>
  <si>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</si>
  <si>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</si>
  <si>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</si>
  <si>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</si>
  <si>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</si>
  <si>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</si>
  <si>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</si>
  <si>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</si>
  <si>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</si>
  <si>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</si>
  <si>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</si>
  <si>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</si>
  <si>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</si>
  <si>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</si>
  <si>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</si>
  <si>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</si>
  <si>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</si>
  <si>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</si>
  <si>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</si>
  <si>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</si>
  <si>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</si>
  <si>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</si>
  <si>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</si>
  <si>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</si>
  <si>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</si>
  <si>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</si>
  <si>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</si>
  <si>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</si>
  <si>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</si>
  <si>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</si>
  <si>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</si>
  <si>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</si>
  <si>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</si>
  <si>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</si>
  <si>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</si>
  <si>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</si>
  <si>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</si>
  <si>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</si>
  <si>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</si>
  <si>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</si>
  <si>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</si>
  <si>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</si>
  <si>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</si>
  <si>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</si>
  <si>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</si>
  <si>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</si>
  <si>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</si>
  <si>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</si>
  <si>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</si>
  <si>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</si>
  <si>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</si>
  <si>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</si>
  <si>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</si>
  <si>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</si>
  <si>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</si>
  <si>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</si>
  <si>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</si>
  <si>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</si>
  <si>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</si>
  <si>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</si>
  <si>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</si>
  <si>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</si>
  <si>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</si>
  <si>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</si>
  <si>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</si>
  <si>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</si>
  <si>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</si>
  <si>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</si>
  <si>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</si>
  <si>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</si>
  <si>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</si>
  <si>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</si>
  <si>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</si>
  <si>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</si>
  <si>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</si>
  <si>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</si>
  <si>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</si>
  <si>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</si>
  <si>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</si>
  <si>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</si>
  <si>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</si>
  <si>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</si>
  <si>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</si>
  <si>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</si>
  <si>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</si>
  <si>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</si>
  <si>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</si>
  <si>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</si>
  <si>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</si>
  <si>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</si>
  <si>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</si>
  <si>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</si>
  <si>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</si>
  <si>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</si>
  <si>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</si>
  <si>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</si>
  <si>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</si>
  <si>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</si>
  <si>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</si>
  <si>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</si>
  <si>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</si>
  <si>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</si>
  <si>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</si>
  <si>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</si>
  <si>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</si>
  <si>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</si>
  <si>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</si>
  <si>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</si>
  <si>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</si>
  <si>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</si>
  <si>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</si>
  <si>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</si>
  <si>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</si>
  <si>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</si>
  <si>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</si>
  <si>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</si>
  <si>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</si>
  <si>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</si>
  <si>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</si>
  <si>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</si>
  <si>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</si>
  <si>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</si>
  <si>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</si>
  <si>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</si>
  <si>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</si>
  <si>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</si>
  <si>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</si>
  <si>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</si>
  <si>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</si>
  <si>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</si>
  <si>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</si>
  <si>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</si>
  <si>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</si>
  <si>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</si>
  <si>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</si>
  <si>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</si>
  <si>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</si>
  <si>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</si>
  <si>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</si>
  <si>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</si>
  <si>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</si>
  <si>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</si>
  <si>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</si>
  <si>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</si>
  <si>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</si>
  <si>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</si>
  <si>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</si>
  <si>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</si>
  <si>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</si>
  <si>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</si>
  <si>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</si>
  <si>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</si>
  <si>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</si>
  <si>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</si>
  <si>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</si>
  <si>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</si>
  <si>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</si>
  <si>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</si>
  <si>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</si>
  <si>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</si>
  <si>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</si>
  <si>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</si>
  <si>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</si>
  <si>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</si>
  <si>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</si>
  <si>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</si>
  <si>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</si>
  <si>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</si>
  <si>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</si>
  <si>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</si>
  <si>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</si>
  <si>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</si>
  <si>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</si>
  <si>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</si>
  <si>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</si>
  <si>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</si>
  <si>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</si>
  <si>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</si>
  <si>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</si>
  <si>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</si>
  <si>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</si>
  <si>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</si>
  <si>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</si>
  <si>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</si>
  <si>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</si>
  <si>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</si>
  <si>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</si>
  <si>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</si>
  <si>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</si>
  <si>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</si>
  <si>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</si>
  <si>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</si>
  <si>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</si>
  <si>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</si>
  <si>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</si>
  <si>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</si>
  <si>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</si>
  <si>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</si>
  <si>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</si>
  <si>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</si>
  <si>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</si>
  <si>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</si>
  <si>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</si>
  <si>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</si>
  <si>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</si>
  <si>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</si>
  <si>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</si>
  <si>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</si>
  <si>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</si>
  <si>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</si>
  <si>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</si>
  <si>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</si>
  <si>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</si>
  <si>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</si>
  <si>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</si>
  <si>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</si>
  <si>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</si>
  <si>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</si>
  <si>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</si>
  <si>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</si>
  <si>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</si>
  <si>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</si>
  <si>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</si>
  <si>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</si>
  <si>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</si>
  <si>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</si>
  <si>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</si>
  <si>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</si>
  <si>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</si>
  <si>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</si>
  <si>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</si>
  <si>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</si>
  <si>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</si>
  <si>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</si>
  <si>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</si>
  <si>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</si>
  <si>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</si>
  <si>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</si>
  <si>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</si>
  <si>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</si>
  <si>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</si>
  <si>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</si>
  <si>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</si>
  <si>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</si>
  <si>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</si>
  <si>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</si>
  <si>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</si>
  <si>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</si>
  <si>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</si>
  <si>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</si>
  <si>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</si>
  <si>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</si>
  <si>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</si>
  <si>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</si>
  <si>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</si>
  <si>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</si>
  <si>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</si>
  <si>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</si>
  <si>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</si>
  <si>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</si>
  <si>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</si>
  <si>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</si>
  <si>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</si>
  <si>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</si>
  <si>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</si>
  <si>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</si>
  <si>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</si>
  <si>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</si>
  <si>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</si>
  <si>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</si>
  <si>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</si>
  <si>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</si>
  <si>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</si>
  <si>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</si>
  <si>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</si>
  <si>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</si>
  <si>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</si>
  <si>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</si>
  <si>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</si>
  <si>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</si>
  <si>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</si>
  <si>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</si>
  <si>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</si>
  <si>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</si>
  <si>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</si>
  <si>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</si>
  <si>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</si>
  <si>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</si>
  <si>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</si>
  <si>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</si>
  <si>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</si>
  <si>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</si>
  <si>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</si>
  <si>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</si>
  <si>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</si>
  <si>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</si>
  <si>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</si>
  <si>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</si>
  <si>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</si>
  <si>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</si>
  <si>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</si>
  <si>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</si>
  <si>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</si>
  <si>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</si>
  <si>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</si>
  <si>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</si>
  <si>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</si>
  <si>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</si>
  <si>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</si>
  <si>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</si>
  <si>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</si>
  <si>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</si>
  <si>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</si>
  <si>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</si>
  <si>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</si>
  <si>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</si>
  <si>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</si>
  <si>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</si>
  <si>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</si>
  <si>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</si>
  <si>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</si>
  <si>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</si>
  <si>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</si>
  <si>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</si>
  <si>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</si>
  <si>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</si>
  <si>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</si>
  <si>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</si>
  <si>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</si>
  <si>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</si>
  <si>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</si>
  <si>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</si>
  <si>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</si>
  <si>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</si>
  <si>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</si>
  <si>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</si>
  <si>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</si>
  <si>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</si>
  <si>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</si>
  <si>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</si>
  <si>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</si>
  <si>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</si>
  <si>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</si>
  <si>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</si>
  <si>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</si>
  <si>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</si>
  <si>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</si>
  <si>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</si>
  <si>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</si>
  <si>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</si>
  <si>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</si>
  <si>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</si>
  <si>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</si>
  <si>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</si>
  <si>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</si>
  <si>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</si>
  <si>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</si>
  <si>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</si>
  <si>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</si>
  <si>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</si>
  <si>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</si>
  <si>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</si>
  <si>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</si>
  <si>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</si>
  <si>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</si>
  <si>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</si>
  <si>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</si>
  <si>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</si>
  <si>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</si>
  <si>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</si>
  <si>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</si>
  <si>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</si>
  <si>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</si>
  <si>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</si>
  <si>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</si>
  <si>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</si>
  <si>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</si>
  <si>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</si>
  <si>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</si>
  <si>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</si>
  <si>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</si>
  <si>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</si>
  <si>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</si>
  <si>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</si>
  <si>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</si>
  <si>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</si>
  <si>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</si>
  <si>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</si>
  <si>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</si>
  <si>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</si>
  <si>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</si>
  <si>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</si>
  <si>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</si>
  <si>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</si>
  <si>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</si>
  <si>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</si>
  <si>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</si>
  <si>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</si>
  <si>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</si>
  <si>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</si>
  <si>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</si>
  <si>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</si>
  <si>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</si>
  <si>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</si>
  <si>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</si>
  <si>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</si>
  <si>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</si>
  <si>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</si>
  <si>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Optimizar la adquisición y mantenimiento de equipo informático observando las normas y políticas institucionales y las leyes nacionales. (Plan de Renovación, Plan de Adquisición y Plan de Mantenimiento - REFERENCIA)</t>
  </si>
  <si>
    <t>Promover  la  capacitación continua de los miembros de la comunidad universitaria para  el desarrollo de las competencias de las TIC.</t>
  </si>
  <si>
    <t>Lunes, 08 de febrero del 2016 Fuente el BCH</t>
  </si>
  <si>
    <t>RESULTADOS INSTITUCIONALES</t>
  </si>
  <si>
    <t>RESULTADOS DE LA UNIDAD</t>
  </si>
  <si>
    <t>a.1) La Dirección de Investigación Científica registra proyectos de investigación enmarcados en los temas prioritarios de la UNAH y de la facultad o centro regional a la cual están adscritas.</t>
  </si>
  <si>
    <t xml:space="preserve">a.2) La Dirección de Investigación Científica promueve la participación de los profesores y estudiantes de las facultades y los centros regionales a concursar por fondos de investigación a nivel interno o externo. </t>
  </si>
  <si>
    <t>a.3) La Dirección de Investigación Científica apoya a las facultades y centros regionales en la gestión de financiamiento de becas de investigación con recursos externos.</t>
  </si>
  <si>
    <t xml:space="preserve">a.4) La Dirección de Investigación Científica promueve el reconocimiento institucional de profesores investigadores con los siguientes premios: 
• Investigación Científica UNAH 2014, (4 categorías)
• Excelencia en la Investigación, (2 categorías)
• Ideas sobre tecnología e innovación, (2 categorías)
• Ensayo sobre investigación, transferencia tecnológica e innovación
• Excelencia en Gestión de la investigación 
</t>
  </si>
  <si>
    <t>a.5) La Dirección de Investigación Científica impulsa la asignación de investigación como carga académica en la UNAH, con el desarrollo de proyectos de investigación.</t>
  </si>
  <si>
    <t>b.1) La Dirección de Investigación Científica publica artículos científicos de investigaciones desarrolladas por docentes de la UNAH provenientes de las facultades y los centros regionales.</t>
  </si>
  <si>
    <t>b.2) La Dirección de Investigación Científica apoya a las facultades y los centros regionales en creación y fortalecimiento de revistas científicas para que cumplan con el rol de ser utilizadas para comunicar los resultados de las investigaciones.</t>
  </si>
  <si>
    <t xml:space="preserve">b.3) La Dirección de Investigación Científica da a conocer las actividades de investigación y gestión de la investigación de la UNAH. </t>
  </si>
  <si>
    <t>b.4) La Dirección de Investigación Científica organiza y desarrolla congresos de investigación científica para intercambiar avances, resultados, tratamiento teórico y abordaje metodológico de los diversos temas prioritarios para el desarrollo nacional, científico y tecnológico.</t>
  </si>
  <si>
    <t>b.5)La Dirección de Investigación Científica organiza encuentros académicos con la participación de las Facultades y los Centros Regionales (congresos,  encuentros, foros y otros eventos de investigación científica).</t>
  </si>
  <si>
    <t>b.6) La Dirección de Investigación Científica apoya a las facultades y los centros regionales en la organización de encuentros (foros, conversatorios, simposios talleres etc.), para divulgar los resultados de las investigaciones realizadas.</t>
  </si>
  <si>
    <t>b.7) La Dirección de Investigación Científica impulsa la representación institucional de la UNAH en eventos científicos a nivel internacional, con la participación de investigadores de diferentes facultades y centros regionales.</t>
  </si>
  <si>
    <t>c.1) La Dirección de Investigación Científica asesora los proyectos de investigación, cuyos resultados sean susceptibles de protección, uso y explotación de la propiedad intelectual.</t>
  </si>
  <si>
    <t>d.1) La Dirección de Investigación Científica ofrece a las facultades y los centros regionales programas de capacitación para apoyo a la investigación.</t>
  </si>
  <si>
    <t>e.1) La Dirección de Investigación Científica impulsa la creación y fortalecimiento de la estructura de investigación: institutos de investigación, unidades de gestión de la investigación, grupos de investigación, observatorios académicos, círculos de creatividad, spin off universitarias e incubadoras.</t>
  </si>
  <si>
    <t xml:space="preserve">e.2) La Dirección de Investigación Científica gestiona convenios de cooperación con instituciones nacionales e internacionales.
</t>
  </si>
  <si>
    <t>e.3) La Dirección de Investigación Científica fortalece los vínculos de la UNAH con la gestión de convenios con el gobierno, sectores productivos, sectores sociales y otras universidades, en torno a la investigación científica, para contribuir de forma integral al conocimiento y solución de los principales problemas del país.</t>
  </si>
  <si>
    <t>10. Formular y ejecutar en Ciudad Universitaria y en cada centro regional universitario, un PLAN UNIVERSITARIO ANUAL DE APOYO A LA GESTIÓN DE RIESGOS, bajo la coordinación de la Maestría en Gestión del Riesgo.</t>
  </si>
  <si>
    <t>11. Integrar programas y planes para la implementación de los servicios de educación no formal a nivel de diplomados, cursos libres, talleres, seminarios, conferencias, con las unidades académicas y en alianza con otros actores de la sociedad.</t>
  </si>
  <si>
    <t>12.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</si>
  <si>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13. Promover encuentros académicos de análisis y reflexión permanente sobre temas relevantes de la realidad nacional, y del sistema educativo nacional incluyendo la educación superior como bien público y gratuito</t>
  </si>
  <si>
    <t>14.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</si>
  <si>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15. Las carreras realiza actividades para divulgar los proyectos de vinculación.</t>
  </si>
  <si>
    <t>16. La Dirección de Vinculación cuenta con estructura y mecanismos de divulgación de los procesos de vinculación para el apoyo a la difusión del quehacer de vinculación a nivel nacional.</t>
  </si>
  <si>
    <t>17. Diseñado un programa orientado al fortalecimiento institucional y el emprendedurismo y desarrollo de capacidades locales en donde funciona el Sistema APS, con la participación plena de las unidades académicas de las áreas sociales y económicas.</t>
  </si>
  <si>
    <t>18. Se cuenta con actores cooperantes identificados y estructurados en mesas temáticas para la ejecución y respaldo de los proyectos de desarrollo local de los municipios.</t>
  </si>
  <si>
    <t>19. Se mejoran los niveles nutricionales locales y se estimula la generación de empleo e ingresos mediante la creación de microempresas familiares comunitarias en los municipios seleccionados.</t>
  </si>
  <si>
    <t>20. Se identifican las cadenas de valor de producción que inciden en el desarrollo economico local en los municipios seleccionados.</t>
  </si>
  <si>
    <t>21. La Dirección de Vinculación organiza anualmente encuentros locales, regionales, nacionales e internacionales que contribuye al debate académico del quehacer de vinculación.</t>
  </si>
  <si>
    <t>22. La DVUS Edita y publica documentos académicos de las diferentes temáticas abordadas en los distintos procesos académicos de vinculación con la sociedad.</t>
  </si>
  <si>
    <t>23. Creado un Sistema de información de procesos de vinculación con indicadores de resultados.</t>
  </si>
  <si>
    <t>24. Los Comités de Vinculación (CV) en las Unidades Académicas de las Facultades y Centros Regionales, funcionan y cumplen con la planificación académica en vinculación y asignan recursos para su ejecución.</t>
  </si>
  <si>
    <t>9.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</si>
  <si>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8.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</si>
  <si>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7.   Ejecución del Sistema Integral de Atención Primaria en Salud Familiar-Comunitario en 30 municipios del país conjuntamente con la Secretaría de Salud, las municipalidades, la SEPLAN, la Secretaría de Educación y la AMOHN.</t>
  </si>
  <si>
    <t>6.   Las unidades académicas sistematizan sus procesos de vinculación ejecutados, de acuerdo a los lineamientos propuestos por la DVUS.</t>
  </si>
  <si>
    <t>5.   La Dirección de Vinculación promueve el intercambio de experiencias y buenas prácticas en el quehacer de vinculación entre las unidades académicas y Centros Regionales.</t>
  </si>
  <si>
    <t>4.   La carrera gestiona recursos internos y externos en coordinación con la Dirección de Vinculación UNAH-Sociedad y la Vicerrectoría de Relaciones Internacionales.</t>
  </si>
  <si>
    <t>3.   Convenios suscritos entre la UNAH e instancias de la sociedad civil, el Estado, los gobiernos locales, el sector productivo.</t>
  </si>
  <si>
    <t>2.   Unidades académicas aplicando las políticas de vinculación en sus procesos de vinculación con la sociedad según sus contextos.</t>
  </si>
  <si>
    <t>1.   Comités de vinculación creados y funcionando con calidad y pertinencia en las unidades académicas, ejecutando proyectos de vinculación relacionados con las áreas prioritarias.</t>
  </si>
  <si>
    <t>1.       Estudiantes orientados profesionalmente a través del Centro de Orientación Vocacional Universitario (COVU).</t>
  </si>
  <si>
    <t>2.       Estudiantes en riesgo académico reciben asesoría y tutoría como formas de atención.</t>
  </si>
  <si>
    <t>3.       Implementar la Bolsa Universitaria de Trabajo en alianza con la Secretaría del Trabajo y Seguridad Social para identificar espacios laborales que favorezcan la empleabilidad de los egresados de la UNAH.</t>
  </si>
  <si>
    <t>4.       Implementado de forma gradual y progresiva la estrategia de Atención Primaria en Salud estudiantil (APS) bajo el modelo de Universidades con Estilos de Vida Saludables que marquen la pauta para la construcción de la Política de Salud Universitaria.</t>
  </si>
  <si>
    <t>5.       Instalados los servicios de salud en todos los Centros Regionales bajo el modelo de Universidades con Estilos de Vida Saludables que respondan a las necesidades de atención, promoción y formación de los estudiantes en los distintos contextos y zonas geográficas</t>
  </si>
  <si>
    <t>6.       Expandidos los servicios de laboratorio para su auto-sostenibilidad en coordinación con la Escuela de Microbiología, ofreciendo servicios de calidad y a bajo costo a la población en general</t>
  </si>
  <si>
    <t>7.       Realizado festivales y encuentros culturales con la participación de estudiantes de CU y CR.</t>
  </si>
  <si>
    <t>8.       Desarrollado el Festival Interuniversitario de Cultura y Arte (FICCUA) para consolidar procesos de integración cultural en la región Centroamericana.</t>
  </si>
  <si>
    <t>9.       Desarrollados programas socio-culturales para el fomento de una cultura y valores de paz, integración y cohesión estudiantil, familiar y social.</t>
  </si>
  <si>
    <t>10.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</si>
  <si>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11.   "Reformulada las políticas de estímulos educativos bajo criterios de equidad y calidad:</t>
  </si>
  <si>
    <t>12.   Becas Municipales</t>
  </si>
  <si>
    <t>13.   Becas de Inclusión Social (Pueblos Indígenas y Afrodescendientes)</t>
  </si>
  <si>
    <t>14.   Becas por Desempeño Estudiantil (museos, bibliotecas, librería, centros de arte, deportes y cultura)</t>
  </si>
  <si>
    <t>15.   Vigentes: excelencia, equidad, cultura y arte y deporte)</t>
  </si>
  <si>
    <t>16.   En estudio: exoneración de matrícula a estudiantes de excelencia."</t>
  </si>
  <si>
    <t>17.   Se apoya el fortalecimiento y ampliación de servicios de la Cooperativa Estudiantil “Lucem Aspicio” u otras. Apoyar el fortalecimiento y la ampliación de los servicios   de la Cooperativa Estudiantil “Lucem Aspicio” u otras.</t>
  </si>
  <si>
    <t>18.   Elaborar una línea base para el establecimiento de las residencias estudiantiles y Centros de Cuidados Infantiles.</t>
  </si>
  <si>
    <t>19.   Se cuenta con una Escuela de Líderes Universitarios estudiantiles.</t>
  </si>
  <si>
    <t>20.   Contar  con una estrategia integral de atención a la diversidad del estudiantado universitario.</t>
  </si>
  <si>
    <t>21.   Priorizados y fortalecidos los proyectos de voluntariado.</t>
  </si>
  <si>
    <t>1.  Aplicación de Sistema de Seguimiento a graduados.  Base de Datos de Egresados, Actualizadas y Monitoreada.</t>
  </si>
  <si>
    <t>2.  Graduados universitarios y Personal Administrativo participan en programa de relevo docente.</t>
  </si>
  <si>
    <t>1.  Las unidades académicas participan en redes académicas a través de la movilidad y el uso de las TICS por campo del conocimiento para la generación y promoción de la gestión del conocimiento.</t>
  </si>
  <si>
    <t>2.  Resultados permanentes y sostenidos de contribución al Desarrollo Humano Sostenible regional, generados por las 8 Redes Educativas Regionales de la UNAH.</t>
  </si>
  <si>
    <t>3.  Gestión exitosa del Sistema de Difusión Científica y Cultural de la UNAH, con participación sostenida y permanente en redes asociativas nacionales e internacionales.</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</si>
  <si>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</si>
  <si>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</si>
  <si>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</si>
  <si>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</si>
  <si>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</si>
  <si>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1.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</si>
  <si>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2.  Consolidado en todos los niveles de gestión académica, el Sub-sistema de Planificación, Monitoria y Evaluación de la Gestión Académica.</t>
  </si>
  <si>
    <t>3.  Mejora continua de indicadores (de calidad y pertinencia) institucionales, nacionales e internacionales, sobre la producción, difusión, gestión e innovación científica y técnica.</t>
  </si>
  <si>
    <t>4.  Comisiones mixtas de Seguridad e Higiene</t>
  </si>
  <si>
    <t>5.  Sistema en Gestión Ambiental (ISO 14001)</t>
  </si>
  <si>
    <t>6.  Adhesión al programa de Universidades Promotoras de la Salud (OPS)</t>
  </si>
  <si>
    <t>7.  Sistema de Gestión de Seguridad e Higiene Ocupacional (OSHAS 18001)</t>
  </si>
  <si>
    <t>8.  Oficina de Responsabilidad Social Universitaria en funcionamiento</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</si>
  <si>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</si>
  <si>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</si>
  <si>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</si>
  <si>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</si>
  <si>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</si>
  <si>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</si>
  <si>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</si>
  <si>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</si>
  <si>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</si>
  <si>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</si>
  <si>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</si>
  <si>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</si>
  <si>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</si>
  <si>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</si>
  <si>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</si>
  <si>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</si>
  <si>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</si>
  <si>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</si>
  <si>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</si>
  <si>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</si>
  <si>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Plataforma tecnológica eficiente, accesible en todos los predios de las sedes, modalidades y unidades académicas de la UNAH.</t>
  </si>
  <si>
    <t>2.  "Macro proyecto de Desarrollo Físico implementado, incluyendo Centros Regionales, CRAED, ITS.</t>
  </si>
  <si>
    <t>3.  2) Infraestructura física de CRAED pilotos en proceso de construcción."</t>
  </si>
  <si>
    <t>4.  "Aulas equipadas con proyectores y equipos de ayuda multimedia, 2) Fortalecida la red de bibliotecas universitarias, librerías universitarias y la editorial, tanto virtuales como físicas."</t>
  </si>
  <si>
    <t>5.  Docentes regularizados y contratados de acuerdo a la meta propuesta.</t>
  </si>
  <si>
    <t xml:space="preserve">6.  Normativa aprobada y en ejecución.  </t>
  </si>
  <si>
    <t>1. Consolidado un sistema de desarrollo del talento humano con relevo de docentes y personal administrativo de excelencia y liderazgo.</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</si>
  <si>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</si>
  <si>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</si>
  <si>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 Incremento de las movilidades internacionales realizadas</t>
  </si>
  <si>
    <t>2. Proyectos y/o programas de cooperación e investigación gestionados por la unidad</t>
  </si>
  <si>
    <t>3. Relaciones internacionales con otras instituciones fortalecidas</t>
  </si>
  <si>
    <t>4. Actividades en internacionalización registradas y monitoreadas</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</si>
  <si>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</si>
  <si>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</si>
  <si>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</si>
  <si>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</si>
  <si>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1.      La Dirección de Educación Superior es reconocida en su rol de conductor de la política educativa de nivel superior, bien organizada y con los recursos humanos y materiales que requiere para su eficaz y eficiente funcionamiento.</t>
  </si>
  <si>
    <t>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</si>
  <si>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3.      Servicios ofrecidos con plena satisfacción de los usuarios</t>
  </si>
  <si>
    <t>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</si>
  <si>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5.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</si>
  <si>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6.      Sistema de Educación Superior integrado a redes socioeducativas nacionales e internacionales.</t>
  </si>
  <si>
    <t>7.      Documento de Plan quinquenal, validado y aprobado. Objetivos propuestos cumplidos.  Sistema de Educación Superior en camino a su desarrollo.</t>
  </si>
  <si>
    <t xml:space="preserve">8.      Proyectos de país desarrollados por los Centros de Educación Superior.  Financiamiento disponible.  </t>
  </si>
  <si>
    <t>9.      El sistema de educación superior integrado a redes académicas. Alianzas estratégicas formalizadas a través de convenios.</t>
  </si>
  <si>
    <t>10.   Plataformas tecnológicas desarrolladas y en funcionamiento.</t>
  </si>
  <si>
    <t>11.   Proponer y desarrollar proyectos conducentes a la integración curricular desde los niveles pre-básica hasta el nivel superior.</t>
  </si>
  <si>
    <t>12.   Promover la formulación de las políticas educativas para el sistema nacional de educación.</t>
  </si>
  <si>
    <t>13.   Impulsar proyectos para lograr la calidad educativa de los niveles pre-básico, básico, medio y superior de la educación nacional.</t>
  </si>
  <si>
    <t>14.   Incidir para el desarrollo del modelo de la Educación Técnica en los Niveles de Educación Media y Superior y su instauración en el Sistema Educativo Nacional.</t>
  </si>
  <si>
    <t>15.   Proponer al Consejo Nacional de Educación el desarrollo de un modelo de Supervisión Educativa para el Sistema Educativo Nacional.</t>
  </si>
  <si>
    <t>16.   Promover a través del Consejo Nacional de Educación en la formulación e implantación de un modelo de descentralización educativa.</t>
  </si>
  <si>
    <t>17.   Promover procesos de formación docente para los niveles pre-básico, básico, medio y superior de la educación nacional.</t>
  </si>
  <si>
    <t>1.       Comunidad Universitaria con mayor conocimiento en el uso de las TIC en las Facultades y Centros Regionales</t>
  </si>
  <si>
    <t>2.       Portal Web activo y actualizado difundiendo información en el ámbito Universitario.</t>
  </si>
  <si>
    <t>3.       Comunidad Universitaria haciendo uso de nuevos recursos de aprendizaje de acuerdo a la tendencia del nuevo modelo educativo.</t>
  </si>
  <si>
    <t>4.       Unidades académicas, administrativas y de servicio aplicando las buenas prácticas para el uso adecuado, ético y solidario de las TICs</t>
  </si>
  <si>
    <t>5.       Servicios y procesos de la biblioteca estandarizados</t>
  </si>
  <si>
    <t>6.       Fortalecida la interoperabilidad y comunicación con diferentes instituciones  a nivel nacional e internacional con las que la UNAH mantiene relaciones.</t>
  </si>
  <si>
    <t>7.       Sistema de Educación a Distancia fortalecido a través de la oferta virtual ampliada en las diferentes carreras de la UNAH.</t>
  </si>
  <si>
    <t>8.       Dinamizado y enriquecido los procesos de enseñanza-aprendizaje en las Unidades académicas haciendo uso de las TICs.</t>
  </si>
  <si>
    <t>9.       Red de datos segura y confiable operando a nivel nacional y con servicio QoS</t>
  </si>
  <si>
    <t>10.   Sistemas de información y aplicaciones informáticas funcionando</t>
  </si>
  <si>
    <t>11.   Unidades académicas, administrativas y de servicio con equipo informático pertinente para las funciones académicas y administrativas respectivamente en buen funcionamiento y actualizado</t>
  </si>
  <si>
    <t>12.   Facilitado el acceso a servicios académicos y administrativos disponibles electrónicamente para los usuarios.</t>
  </si>
  <si>
    <t>13.   Información disponible en línea</t>
  </si>
  <si>
    <t>14.   Información oportuna y pertinente generada para la toma de decisiones a nivel gerencial.</t>
  </si>
  <si>
    <t>15.   Recursos TI normados y regulados</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</si>
  <si>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</si>
  <si>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</si>
  <si>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1. Personal Docente implementando prácticas innovadoras, alineadas con el modelo educativo.</t>
  </si>
  <si>
    <t>Movilidad Internacional</t>
  </si>
  <si>
    <t>Cooperación Internacional</t>
  </si>
  <si>
    <t>Convenios Internacionales</t>
  </si>
  <si>
    <t>Redes</t>
  </si>
  <si>
    <t>Organización de eventos Internacionales</t>
  </si>
  <si>
    <t>Publicaciones</t>
  </si>
  <si>
    <t>Ninguna  </t>
  </si>
  <si>
    <t>Programa / Proyecto 2017</t>
  </si>
  <si>
    <t>Del 1 de Enero al 31 de Diciembre 2017</t>
  </si>
  <si>
    <t>Número de personas capacitadas</t>
  </si>
  <si>
    <t>4.1.1</t>
  </si>
  <si>
    <t>Empleados del Comisionado  Universitario de UNAH-VS y CURLA capacitados y fortalecidos en el manejo de tecnologías nuevas.</t>
  </si>
  <si>
    <t>4.1.1 a) Capacitar a los empleados del Comisionado Universitario en UNAH-VS y CURLA sobre el uso y manejo del Programa de Docuware</t>
  </si>
  <si>
    <t>Manejo oportuno y eficiente de las herramientas de trabajo del CU</t>
  </si>
  <si>
    <t>Listados, fotografía de reunión de capacitación.</t>
  </si>
  <si>
    <t>Personal del Comisionado Universitario.</t>
  </si>
  <si>
    <t>Todo el Personal del Comisionado Universitario.</t>
  </si>
  <si>
    <t xml:space="preserve">Alimentos y Bebidas (Coffe Break, Almuerzos) </t>
  </si>
  <si>
    <t>Gasolina</t>
  </si>
  <si>
    <t>Pasajes nacionales</t>
  </si>
  <si>
    <t>Numero de equipo de oficina comprado</t>
  </si>
  <si>
    <t>4.2.1</t>
  </si>
  <si>
    <t xml:space="preserve">Solicitudes de ciompra, actas de recepción, oficios. </t>
  </si>
  <si>
    <t>Personal del Comisionado Universitario</t>
  </si>
  <si>
    <t>Area Administrativa y Titular del Comisionado Universitario</t>
  </si>
  <si>
    <t>Trabajar con el equipo adecuado y brindar una mejor atención a los usuarios</t>
  </si>
  <si>
    <t>Oficinas del Comisionado necesitan conrtar con todas las herramientas de trabajo.</t>
  </si>
  <si>
    <t>Impresora Multifuncional</t>
  </si>
  <si>
    <t>Licencias Docuware</t>
  </si>
  <si>
    <t>Camara Fotografica Profesional</t>
  </si>
  <si>
    <t>Apuntador/Control Diapositivas</t>
  </si>
  <si>
    <t>Pantalla Plasma 50 "</t>
  </si>
  <si>
    <t>Tablet</t>
  </si>
  <si>
    <t>Planta Telefónica</t>
  </si>
  <si>
    <t>Grabadora Digital</t>
  </si>
  <si>
    <t>Pantalla Interactiva</t>
  </si>
  <si>
    <t>Camara Fotografica Profesional con tripode</t>
  </si>
  <si>
    <t>AREAS ESTRATEGICA DEL COMISIONADO</t>
  </si>
  <si>
    <t>2.1.1</t>
  </si>
  <si>
    <t>Trabajar en conjunto con estas entidades para fortalecer nuestras actividades sobre la promoción de DDHH.</t>
  </si>
  <si>
    <t xml:space="preserve">Oficios enviados, recibidos </t>
  </si>
  <si>
    <t>Toda la Comunidad Universitari</t>
  </si>
  <si>
    <t>Titular del Comisionado</t>
  </si>
  <si>
    <t>2.2.2</t>
  </si>
  <si>
    <t>Dar a conocer la Figura del Comisionado Universitario a todos los miembros de la comunidad universitaria</t>
  </si>
  <si>
    <t>2.1.2</t>
  </si>
  <si>
    <t>2.1 Vivencia del eje ética</t>
  </si>
  <si>
    <t>2.1.2 a) Campaña de promoción sobre la figura del Comisionado Universitario y el Acoso Sexual, a nivel nacional a inicio de cada uno de los períodos académicos mediante carpas 2.1.2 b ) Participación en todos los "Cursos Introducción a la Vida Universitaria" 2.1.2 c) Atención a solicitudes de capacitación sobre tema de DDHH</t>
  </si>
  <si>
    <t>Todo el equipo del Comisionado Universitario a nivel nacional</t>
  </si>
  <si>
    <t>2.2 Construcción de la ciudadanía universitaria</t>
  </si>
  <si>
    <t>2.2.1</t>
  </si>
  <si>
    <t>2.2.3</t>
  </si>
  <si>
    <t>Revista en cultura de paz sobre derechos humanos editada</t>
  </si>
  <si>
    <t xml:space="preserve">2.2.1 a) Gestionar fondos internos o externos para la publicación de la Revista Hypatia en cultura de paz y derechos humanos en Honduras.  </t>
  </si>
  <si>
    <t xml:space="preserve">Contribuir con la construcción de una cultura de paz y de respeto a los DDHH. </t>
  </si>
  <si>
    <t>Cantidad de impresos realizados</t>
  </si>
  <si>
    <t>Delegación SCNO, área administrativa</t>
  </si>
  <si>
    <t>Todo el equipo del Comisionado</t>
  </si>
  <si>
    <t>Listados, fotografías de eventos realizados.</t>
  </si>
  <si>
    <t>Campaña realizada en los Centros a nivel nacional.</t>
  </si>
  <si>
    <t>Una capacitación realizada</t>
  </si>
  <si>
    <t>2.2.3 a ) Inducción a los estudiantes voluntarios del Comisionado Universitario (Insumos: Refrigerios, carnet, diplomas, tintas, cartulina, viáticos para dos personas hacia Comayagua, SPS y La Ceiba).</t>
  </si>
  <si>
    <t>Población estudiantil</t>
  </si>
  <si>
    <t>2.3.Costrucción de cultura de derechos humanos</t>
  </si>
  <si>
    <t>Conmemoración del Día de los DDHH</t>
  </si>
  <si>
    <t>100% de la Campaña realizada</t>
  </si>
  <si>
    <t>Participación del  Comisionado Universitario en la asamblea de la REDDU</t>
  </si>
  <si>
    <t>Asistencia de todo el equipo del Comisionado a la conmemoración</t>
  </si>
  <si>
    <t>100 libros adquiridos</t>
  </si>
  <si>
    <t>2.3.1</t>
  </si>
  <si>
    <t>2.3.3</t>
  </si>
  <si>
    <t>2.3.4</t>
  </si>
  <si>
    <t>2.3.2 a) Campaña "Yo Practico los DDHH en mi Facultad/Carrera", programadas a nivel nacional en las 10 Facultades de Tegucigalpa y en cada Centro Regional y CRAED (Insumos: Refrigerio para 100 personas en cada Centro (24); 5,000 libretas y 5,000 lápices; Viáticos para la Comisionado(a) y Comunicadora a todos los Centros y, de los Delegados y Asistentes a los Centros a su cargo, por 2.5 días)</t>
  </si>
  <si>
    <t>2.3.3. a) Incorporación a las actividades de conmemoración de DDHH organizadas por la UNAH</t>
  </si>
  <si>
    <t xml:space="preserve"> Compra de Bibliografía sobre normativas de la Universidad Leyes y Códigos en relación y libros sobre temática de Derechos y libertades Universitarias. </t>
  </si>
  <si>
    <t>2.3.2</t>
  </si>
  <si>
    <t>Autoridades y docentes</t>
  </si>
  <si>
    <t xml:space="preserve">Administrador, Comunicación, Delegaciones y Titular </t>
  </si>
  <si>
    <t>Para el Comisionado Universitario es indispensable pertenecer a una red de defensores ya que esto ayuda a mantenerse actualizados en los temas de DDHH, logramos intercambios de colaboración entre los miembros de la Red con el Comisionado Universitario y es un apoyo para este Órgano pertenecer a la misma.</t>
  </si>
  <si>
    <t>Materiales recibidos por la REDDU, Oficios, Diplomas de participación, contactos adquiridos para futuras actividades, carta de Invitaciones, solicitudes de pago de membresia etc.</t>
  </si>
  <si>
    <t>Titular del Comisionado, área administrativa</t>
  </si>
  <si>
    <t>Fotografías</t>
  </si>
  <si>
    <t>Toda la Comunidad Universitaria</t>
  </si>
  <si>
    <t>Todo el equipo del Comisionado a nivel nacional</t>
  </si>
  <si>
    <t>Área administrativa</t>
  </si>
  <si>
    <t>Libros en existencia</t>
  </si>
  <si>
    <t>Listado y fotografías realizadas</t>
  </si>
  <si>
    <t>Alimentos y Bebidas Para Personas</t>
  </si>
  <si>
    <t xml:space="preserve">Llaveros </t>
  </si>
  <si>
    <t xml:space="preserve">cofffes para participamntes </t>
  </si>
  <si>
    <t>Gasolina para delegados</t>
  </si>
  <si>
    <t xml:space="preserve">Materiales (Cartulina, Carnet, Diplomas , Etc.) </t>
  </si>
  <si>
    <t>Refrigerio</t>
  </si>
  <si>
    <t xml:space="preserve">Tintas a color </t>
  </si>
  <si>
    <t>Libretas</t>
  </si>
  <si>
    <t>2.3.2 a) Acreditación del Comisionado Universitario como miembros de la REDDU 2.3.2 b) Participación del Titular del Comisionado Universitario y un acompañante a la Asamblea Ordinaria y Extraordinaria de la REDDU (posiblemente en el mes de octubre 2016). 2,3.2 c ) Viáticos  para participar en  materia de DD.HH la oficina del CU.</t>
  </si>
  <si>
    <t>PAGO DE MEMEBRESIAS</t>
  </si>
  <si>
    <t>Pasaje del Titular y Acompañante</t>
  </si>
  <si>
    <t>Compra de diversaos libros para boblioteca</t>
  </si>
  <si>
    <t>3.1 Comunicación y promoción</t>
  </si>
  <si>
    <t>Información socializada en Ciudad Universitaria, Centros Regionales y CRAED.</t>
  </si>
  <si>
    <t>Difusión de información en Ciudad Universitaria, Centros Regionales y CRAED</t>
  </si>
  <si>
    <t>3.1.1</t>
  </si>
  <si>
    <t>3.1.2</t>
  </si>
  <si>
    <t>Unificación de criterios de trabajo y autoevaluación a nivel nacional</t>
  </si>
  <si>
    <t>Atención integral y respeto de los DDHH hacia grupos especiales</t>
  </si>
  <si>
    <t>20 coordinadores capacitados.</t>
  </si>
  <si>
    <t>3.1.3</t>
  </si>
  <si>
    <t>3.1.2. a) Homologación de procedimientos del Comisionado, desarrollándose a final de año una autoevaluación (Insumos: Almuerzo del grupo, viáticos delegados y asistentes)</t>
  </si>
  <si>
    <t>3.1.3.a) Conversatorio sobre el derecho a la atención especial hacia estudiantes con discapacidad, en estado de embarazo y en grave dificultad, con coordinadores de Carrera. (Insumos: Refrigerio, Reglamento Estudiantes, Trifolio Estudiantes, Reglamento Discapacidad)</t>
  </si>
  <si>
    <t>El Comisionado Universitario como Órgano Instructor del Reglamento contra el Acoso Sexual tiene la obligación de promover este tema con los diferentes sectores universitarios con el fin de prevenir, atender, sancionar y erradicar el acoso sexual en la UNAH. Y cabe mencionar que la mayor cantidad de denuncias recibidas sobre este tema surge del área docente.</t>
  </si>
  <si>
    <t>Criterios de trabajo estandarizados a nivel nacional y autoevaluación</t>
  </si>
  <si>
    <t>Lista de asistencia y fotografías de cada evento realizado</t>
  </si>
  <si>
    <t>Claustros de las 10 facultades</t>
  </si>
  <si>
    <t>Todo el equipo del Comisionado Universitario.</t>
  </si>
  <si>
    <t>Toda el equipo del Comisionado U</t>
  </si>
  <si>
    <t>Delegación del Comisionado en la Facultad de Ciencias Medicas</t>
  </si>
  <si>
    <t>Delegación del Comisionado en la Facultad de Ciencias Medicas y CURLA.</t>
  </si>
  <si>
    <t>Comunidad Universitaria</t>
  </si>
  <si>
    <t>b) Fortalecer la atribución que la Constitución de la República le otorga a la UNAH de organizar,dirigir y desarrollar la educación superior y profesional.</t>
  </si>
  <si>
    <t>Armonizar la aplicación del debido proceso en la normativa universitaria</t>
  </si>
  <si>
    <t>20 jefes de departamento capacitados.</t>
  </si>
  <si>
    <t>3.1.4</t>
  </si>
  <si>
    <t>3.1.4. Conversatorio sobre el debido proceso en la aplicación del régimen disciplinario a docentes con Jefes de Departamento. (Insumos: Refrigerio, Trifolio de Docentes, Código de Ética, Trifolio Comisionado)</t>
  </si>
  <si>
    <t>20 % de estrategia de comunicación para la oficina del Comisionado Construida</t>
  </si>
  <si>
    <t>20% de vínculos con ONG y otras organizaciones definidas.</t>
  </si>
  <si>
    <t>1.1 Comunición y promoción</t>
  </si>
  <si>
    <t>20% de vínculos fortalecidos con VOAE,DIPP, Vida Universitaria, UTV,IUDPAS,SEDI y medios de comunicación establecidos</t>
  </si>
  <si>
    <t>1.1.1</t>
  </si>
  <si>
    <t>1.1.2</t>
  </si>
  <si>
    <t>1.1.3</t>
  </si>
  <si>
    <t>1.1.4. a) Elegir organizaciones e instituciones con quienes vincularse y fortalecer aquellos lazos ya establecidos con el fin de cumplir las funciones del Comisionado establecidase en el art. 1 del Reglamento.</t>
  </si>
  <si>
    <t>1.1.3. a) Estrategia de comunicación para enlazar redes de comunicación de los CRAED para ser amigos del Comisionado Universitario a través de las redes sociales para compartir información y estar al tanto del quehacer de la UNAH, normativas universitarias y Circulares de orden académico / Enlazarse en los distintos medios de comunicación radial y televisivo de orden local</t>
  </si>
  <si>
    <t>Documento elaborado</t>
  </si>
  <si>
    <t>Ayudas memorias</t>
  </si>
  <si>
    <t>Toda la comunidad universitaria</t>
  </si>
  <si>
    <t>VOAE,DIPP,Vida Universitaria,IUDPAS,SEDI,UTV y otros medios de Comunicación.</t>
  </si>
  <si>
    <t xml:space="preserve"> Titular, Área de comunicación , Delegaciones Regionales.</t>
  </si>
  <si>
    <t>Área de comunicación y delegados regionales</t>
  </si>
  <si>
    <t>1.2 Garantia Y Protección de Derechos</t>
  </si>
  <si>
    <t>Propuestas de fortalecimiento para una red centroamericana de DDHH</t>
  </si>
  <si>
    <t>Sistema automatizado de las Delegaciones funcionando correctamente</t>
  </si>
  <si>
    <t>Una gira a las Delegaciones del Comisionado para dar el mantenimiento respectivo al sistema de registro automatizado.</t>
  </si>
  <si>
    <t>1 Encuentro realizado</t>
  </si>
  <si>
    <t>1.2.1</t>
  </si>
  <si>
    <t>1.2.2</t>
  </si>
  <si>
    <t>1.2.3</t>
  </si>
  <si>
    <t xml:space="preserve">1.2.2 a) Giras de la Oficial contra el Acoso a los distintos Centros por posibles denuncias de acoso sexual 1 visita a CURLA, 1 visita a UNAH-VS y 2 visitas a cualquiera de los demás centros que requieran de la atención de la oficial. </t>
  </si>
  <si>
    <t xml:space="preserve">1.2.3 I Encuentro Regional de Titulares de Defensores de Derechos Universitarios, aliados CONADEH, Alto Comisionado, IDH, Coordinación DDHH Naciones Unidas, Secretaría de Justicia y Derechos Humanos. </t>
  </si>
  <si>
    <t>1.2.4 d) Giras a las Delegaciones del Comisionado Universitario en CURLA y UNAH-VS.</t>
  </si>
  <si>
    <t>1.3 Administración</t>
  </si>
  <si>
    <t>1.3.1</t>
  </si>
  <si>
    <t>1.3.2</t>
  </si>
  <si>
    <t>1.3.3</t>
  </si>
  <si>
    <t>1.3.4</t>
  </si>
  <si>
    <t>Personal del Comisionado capacitado</t>
  </si>
  <si>
    <t>Miembros de la comunidad universitaria conocen los informes del CU.</t>
  </si>
  <si>
    <t>Nivelacion salarial aceptada</t>
  </si>
  <si>
    <t>Establecidos los procedimientos para el manejo de fondos, inventarios revisados y actualizados.</t>
  </si>
  <si>
    <t>1 gira realizada a CURLA,UNAH-VS y CURLP</t>
  </si>
  <si>
    <t>Oficina del Comisionado, cuenta con todo su mobiliario de Oficina</t>
  </si>
  <si>
    <t>Equipo comprado</t>
  </si>
  <si>
    <t xml:space="preserve">Personal del Comisionado con sueldo base según cada colegio profesional. </t>
  </si>
  <si>
    <t>10 informes elaborados</t>
  </si>
  <si>
    <t>14 empleados del Comisionado Universitario capacitados.</t>
  </si>
  <si>
    <t>1.3.5</t>
  </si>
  <si>
    <t>1.3.6</t>
  </si>
  <si>
    <t>1.3.4. a) Gestionar la nivelación salarial en base a la carrera administrativa previo estudio de competencias del personal del Comisionado 1.3.4.b) Según lo establecido en el  arancel aprobado por cada colegio profesional. (El arancel será el salario base, respetando sus beneficios laborales).</t>
  </si>
  <si>
    <t xml:space="preserve">1.3.3 a) Elaboración de informes trimestrales y anuales, lo cual consiste en sistematización, análisis, redacción. </t>
  </si>
  <si>
    <t>1.3.2. a)La Oficina del Comisionado y  la Unidad Contra el Acoso Sexual trasladada a un nuevo espacio fisico 1.3.2.b.1) Oficios remitidos a Junta de Dirección Universitaria, Rectoría y Administracion del CISE.</t>
  </si>
  <si>
    <t>1.3.1 a) Capacitar a cada uno de los empleados del Comisionado, sobre motivación profesional, jornadas de profilaxis, tecnología.</t>
  </si>
  <si>
    <t>Impulsando La mejora continua de cada uno de los empleados del Comisionado Universitario para desarrollo eficiente de funciones y una buena prestacion de servicios</t>
  </si>
  <si>
    <t>Art- 25 del Reglamento de Organización y Funcionamiento del Comisionado establece que esta Unidad informara trimestralmente a la comunidad universitaria.</t>
  </si>
  <si>
    <t>Mejora  continua del personal del CU, según cada colegio Profesional.</t>
  </si>
  <si>
    <t>Mejora continua y eficiente de los procesos administrativos de la UNAH</t>
  </si>
  <si>
    <t>Asegurar el buen funcionamiento del sistema automatizado de dato</t>
  </si>
  <si>
    <t>Se contemplan en base a los casos presentados en el año 2015 como referente para el 2016, ante la demanda de los usuarios</t>
  </si>
  <si>
    <t>Denuncias de acoso sexual atendidas por el oficial contra el acoso sexual</t>
  </si>
  <si>
    <t>Establecer lazos de relaciones internacionales en materia de DDHH para contribuir con el fortalecimiento institucional del Comisionado Universitario</t>
  </si>
  <si>
    <t>Fotografías, listado</t>
  </si>
  <si>
    <t>Población de los centos regionales CURLA, UNAH-VS y dos por definir.</t>
  </si>
  <si>
    <t>Titular CU</t>
  </si>
  <si>
    <t>Titulares Regionales</t>
  </si>
  <si>
    <t>1.3.7</t>
  </si>
  <si>
    <t>Solicitudes y liquidaciones de viaticos</t>
  </si>
  <si>
    <t>Area de quejas, area administrativa</t>
  </si>
  <si>
    <t>capacitaciones recibidas</t>
  </si>
  <si>
    <t>Equipo del Comisionado</t>
  </si>
  <si>
    <t>Titular del CU y , asistente del CU y area administrativa</t>
  </si>
  <si>
    <t>Area administrativa del Comisionado Universitario y Titular-</t>
  </si>
  <si>
    <t>Todo el equipo del Comisionado Universitario</t>
  </si>
  <si>
    <t>Titular del CU y area administrativa</t>
  </si>
  <si>
    <t>Area administrativa del CU.</t>
  </si>
  <si>
    <t>Delegacione s del Comsionado U.</t>
  </si>
  <si>
    <t>Equipo  del Comisionado U.</t>
  </si>
  <si>
    <t>Personal del Comisionado</t>
  </si>
  <si>
    <t>Oficios con respuesta de gestión de traslado positiva.</t>
  </si>
  <si>
    <t>Informes socializados con la comunidad universitaria</t>
  </si>
  <si>
    <t>Pagos recibidos por personal</t>
  </si>
  <si>
    <t>Solicitudes y liquidaciones de viaticos, Informes de giras.</t>
  </si>
  <si>
    <t>Solicitudes de compra, constancias de inventario.</t>
  </si>
  <si>
    <t xml:space="preserve">Reglamentos de Estudiantes </t>
  </si>
  <si>
    <t>Trifolios Estudiantes</t>
  </si>
  <si>
    <t xml:space="preserve"> Reglamentos Acoso</t>
  </si>
  <si>
    <t xml:space="preserve"> Trifolios Docentes</t>
  </si>
  <si>
    <t>Trifolios Empleados Administrativos</t>
  </si>
  <si>
    <t>Lápices varios mensajes CU</t>
  </si>
  <si>
    <t xml:space="preserve"> cuadernos espiral varios mensajes</t>
  </si>
  <si>
    <t xml:space="preserve">Afiches mensajes Comisionado Universitario y Conflictos en Aula </t>
  </si>
  <si>
    <t xml:space="preserve">Rótulos del Comisionado Universitario </t>
  </si>
  <si>
    <t>Pizarra electrónica para la Sala de Conferencias de la Oficina Central.</t>
  </si>
  <si>
    <t>banners modernos del Comisionado U. y Acoso Sexual (Oficina Central y Regionales).</t>
  </si>
  <si>
    <t xml:space="preserve"> Carpas metálicas pre-armadas.</t>
  </si>
  <si>
    <t xml:space="preserve"> mesas portátiles para las carpas.</t>
  </si>
  <si>
    <t>Cintill electrónico para proyectar mensajes del Comisionado Universitario</t>
  </si>
  <si>
    <t xml:space="preserve">Gasolina </t>
  </si>
  <si>
    <t xml:space="preserve">Pasajes Nacionales </t>
  </si>
  <si>
    <t>Pasajes Nacionales</t>
  </si>
  <si>
    <t xml:space="preserve">Pago de estipendios </t>
  </si>
  <si>
    <t xml:space="preserve">Pasajes Internacionales </t>
  </si>
  <si>
    <t xml:space="preserve">Hospedaje </t>
  </si>
  <si>
    <t>Trsaldo de Oficina -Fondo previsto</t>
  </si>
  <si>
    <t>Monitoreo de todas las gestiones  administrativas, control de inventarios de  las Delegaciones del Comisionado</t>
  </si>
  <si>
    <t>20 % de delegaciones creadas en centros regionales.</t>
  </si>
  <si>
    <t>El Comisionado Universitario fue creado para tener presencia en todos los centros regionales, por tanto se hace necesario la cobertura del mandato</t>
  </si>
  <si>
    <t>Plazas creadas y espacio fisico asignado.</t>
  </si>
  <si>
    <t>Comunidad Universitaria donde se haran lops nombramientos respectivos.</t>
  </si>
  <si>
    <t>1.3.8</t>
  </si>
  <si>
    <t xml:space="preserve">4.2.1.  Equipo de oficina a adquirir: a) Dos computadora de escritorio; b) Una impresora Epson Ecotank; c) Una cámara fotográfica profesional; d) Una computadora portátil; e) Licencia Docuware; f)  i) Una grabadora digital (UNAH-VS). 4.2..2 a) Una computadora de escritorio; b)  Una cámara fotográfica profesional; c) Un disco duro portátil; d) Una impresora multifuncional; e) Un router; F) Un televisor de 50"; g) Un datasho; H) Licencia Docuware; i) Tablet; j) Una computadora portátil; k) 3 Baterías para computadora (CURLA);  4.2.3 a) Planta telefónica; b) Una computadoras portátil; c) Una impresora multifuncional; d) Una cámara fotográfica profesional; e) Licencia Docuware; f) Apuntador/Control Diapositivas; g) Grabadora digital; h) Pantalla Interactiva; l) Tablet; j) Disco externo k) Router L) Una Computadora de escritorio(Delegación FCM); 4.2.4. a) Tres computadoras de escritorio (Comunicación, Acoso Sexual, CSNO); b) Una cámara profesional con trípode; c) Un tv de 50"; d) Una impresora a color (Asistente); e) Ipad (Comisionado); f) Una tablet (CSNO); g) Una tablet (Asistente); h) Una tablet i) Data show aéreo sala de conferencias oficina central.(Comunicación); 4 computadoras de escritorio (Nuevas delegaciones); 2 Impresoras multifuncionales; dos cámaras fotográficas y dos grabadoras profesionales (Delegaciones nuevas); Dos teléfonos nuevas regionales; Disco externo (Asistente) (Ciudad Universitaria). </t>
  </si>
  <si>
    <t xml:space="preserve">Aires Acondicionados </t>
  </si>
  <si>
    <t>Telefonos fijo</t>
  </si>
  <si>
    <t>Ipad</t>
  </si>
  <si>
    <t xml:space="preserve">Plazas creadas (psicologo y Investigador de reclamos para la Unidad Contra el Acoso sexual), dos delegadas´-os y sus asistentas-es en centros regionales. </t>
  </si>
  <si>
    <t>1.2.3 a) Creación de Plazas para Delegaciones nuevas 1.23. b) Contratacion de un psicologo asignado para la Unidad contra el Acoso Sexual</t>
  </si>
  <si>
    <t>1.2.4</t>
  </si>
  <si>
    <t>Intercambio de experiencias con la Universidad de Costa Rica especificamente en el area que atiende el Hostigamiento Sexual.</t>
  </si>
  <si>
    <t>Realizar una compilación y analisis de información útil, establecer comparaciones y desgajar interrogantes comunes recordando que la problemática es la misma , pero esto no significa que las soluciones no son las mismas en todas partes.</t>
  </si>
  <si>
    <t>Establecer alianzas comunes con las Universidades que trabajan este tema, a manera de fortalecer la labor que realiza la Unidad Contra el Acoso Sexual.</t>
  </si>
  <si>
    <t>Solicitud y liquidacion de viaticos</t>
  </si>
  <si>
    <t>Unidad contra el Acoso Sexual</t>
  </si>
  <si>
    <t>Oficial de la Unidad contra el Acoso Sexual y area administrativa</t>
  </si>
  <si>
    <t xml:space="preserve">Pasajes al exterior </t>
  </si>
  <si>
    <t>Sensibilizar sobre la obligación de cada miembro de la comunidad universitaria que se tiene de respetar los derechos humanos en la Universidad.</t>
  </si>
  <si>
    <t>Equipo del Comisionado Universitario</t>
  </si>
  <si>
    <t>El Comisionado Universitario con el fin de llegar a una mayor población, aprovecha la colaboración de los estudiantes voluntarios para tener más efectividad y alcance en sus campañas.</t>
  </si>
  <si>
    <t>El Comisionado Universitario como Órgano Instructor del Reglamento contra el Acoso Sexual tiene la obligación de promover este tema con los diferentes sectores universitarios con el fin de prevenir, atender, sancionar y erradicar el acoso sexual en la UNAH.</t>
  </si>
  <si>
    <t>3.1.1 a) Diseño e impresión de materiales promocionales para la socializacion de la Figura del CU, Unidad contra el Acoso Sexual, al inicio de cada período académico con el fin de prevenir, sancionar y erradicar el acoso sexual en la UNAH, en Ciudad Universitaria (mediante el equipo de trabajo del comisionado univertario, Facilitadores en DDHH) y Centros Regionales y Facultad de Ciencias Médicas (a través de las Juntas Directivas Estudiantiles) involucrando a todo el personal. b) Participación en los Cursos de Introducción a la Vida Universitaria.</t>
  </si>
  <si>
    <t>Dar a conocer las actividades del Comisionado a nivel nacional. Según la planificación estrategica se programa 20% de desarrollo de actividad por año vigente de la misma.</t>
  </si>
  <si>
    <t>Contar con alianzas estratégicas para la promoción de derechos humanos y gestión de recursos a nivel nacional e internacional. Según la planificación estrategica se programa 20% de desarrollo de actividad por año vigente de la misma.</t>
  </si>
  <si>
    <t>Potenciar el rol de recursos del Comisionado Universitario. Según la planificación estrategica se programa 20% de desarrollo de actividad por año vigente de la misma.</t>
  </si>
  <si>
    <t>1.1.5. a) Reuniones de trabajo con demás unidades institucionales, para lograr acuerdos con el fin de la reducción de conflictos en la UNAH.</t>
  </si>
  <si>
    <t>1.2.1 a) Giras por la Delegación itinerante, a los centros regionales CURLP,CURNO,UNAHTEC-DANLI, CURC, CRAED,  CRAED LA ENTRADA, CURVA, CUROC, INSTITUTO DE TELA, correspondientes a la zona en atención, con el fin de atender orinetaciones, solicitudes y quejas.</t>
  </si>
  <si>
    <t>8 Visitas realizadas y documentos intercambiados</t>
  </si>
  <si>
    <t>Atención de todos los casos sobre violación a derechos que se presenten</t>
  </si>
  <si>
    <t>4 giras realizadas</t>
  </si>
  <si>
    <t xml:space="preserve"> Oficina del Comisionado Universitario y Unidad Contra el Acoso Sexual trasladas a un nuevo espacio físico. </t>
  </si>
  <si>
    <t>Traslado de la Oficina del Comisionado Universitario y la Unidad Contra el Acoso Sexual</t>
  </si>
  <si>
    <t>Necesidades de Oficina Central  y delegaciones del Comisionado , en vista de llas mejoras de instalaciones.</t>
  </si>
  <si>
    <t>Actualmente el Comisionado se encuentra en un hacinamiento total, necesidad inminente de un espacio físico mas grande.</t>
  </si>
  <si>
    <t>Solicitudes de viáticos, listados de asistentes, fotografías</t>
  </si>
  <si>
    <t>Unidad contra el Acoso Sexual y area administrativa.</t>
  </si>
  <si>
    <t>Población de los centros regionales correspondientes a su zona de atención</t>
  </si>
  <si>
    <t>Solicitudes de viáticos, listados de asistentes, fotografías.</t>
  </si>
  <si>
    <t>Atención de los Delegados CSNO, UNAH-VS y CURLA ante los conflictos que puedan presentarse en los Centros a su cargo</t>
  </si>
  <si>
    <t>Área de quejas y Unidad contra el Acoso Sexual</t>
  </si>
  <si>
    <t>Oasis</t>
  </si>
  <si>
    <r>
      <t>Fortalec</t>
    </r>
    <r>
      <rPr>
        <b/>
        <sz val="12"/>
        <color rgb="FFFF0000"/>
        <rFont val="Calibri"/>
        <family val="2"/>
        <scheme val="minor"/>
      </rPr>
      <t>idas</t>
    </r>
    <r>
      <rPr>
        <b/>
        <sz val="12"/>
        <color theme="3"/>
        <rFont val="Calibri"/>
        <family val="2"/>
        <scheme val="minor"/>
      </rPr>
      <t xml:space="preserve"> nuestras actividades sobre la promoción de DDHH trabajando en conjunto con La Corte Internacional de la Cruz Roja (CICR), CEPRES, Foro Nacional de SIDA (FOROSIDA), CIPRODEH, Fondo de Población de las Naciones Unidas (UNFPA), Programa de las Naciones Unidas para el Desarrollo (PNUD), Facultad de Ciencias Jurídicas-Consultorio Jurídico, CEUTEC-CURLA, UDIMUF, Paz y Justicia, Centro de Derecho de Mujeres (CDM), Comisionado Nacional de los Derechos Humanos (CONADEH), MÉDICOS MUNDI, Secretaría de Gobernabilidad, Justicia y DDHH, IRLA DE HONDURAS, Facultad de Ciencias Sociales (Psicología, Trabajo Social, Estudios de la Mujer, Departamento de DDHH y Ciencias Políticas)</t>
    </r>
  </si>
  <si>
    <t>4 talleres realizados.</t>
  </si>
  <si>
    <t xml:space="preserve">2.1.1 a) a) Reuniones para establecer alianzas con Corte Internacional de la Cruz Roja (CICR), CEPRES, Foro Nacional de SIDA (FOROSIDA), CIPRODEH, Fondo de Población de las Naciones Unidas (UNFPA), Programa de las Naciones Unidas para el Desarrollo (PNUD), Facultad de Ciencias Jurídicas-Consultorio Jurídico, CEUTEC-CURLA, UDIMUF, Alianza Paz y Justicia, Centro de Derecho de Mujeres (CDM), Comisionado Nacional de los Derechos Humanos (CONADEH), MÉDICOS MUNDI, Secretaría de Gobernación, Justicia y DDHH, IRLA DE HONDURAS, Facultad de Ciencias Sociales (Psicología, Trabajo Social, Estudios de la Mujer, Departamento de DDHH y Ciencias Políticas), otros. </t>
  </si>
  <si>
    <t>16  visitas realizadas y documentos intercambiados</t>
  </si>
  <si>
    <t>24 Giras realizadas</t>
  </si>
  <si>
    <t xml:space="preserve">Publicada la segunda edicion  de la revista anual de cultura de paz y derechos humanos HYPATIA. 100 impresiones </t>
  </si>
  <si>
    <t>Sensibilizados sobre el respeto de los DDHH hacia la mujer y la participación que los hombres pueden tener en la construcción de este tema.</t>
  </si>
  <si>
    <t xml:space="preserve">Actividades realizadas en conjunto con  estudiantes voluntarios en la promoción de los derechos humanos en el interior de la UNAH.  </t>
  </si>
  <si>
    <t xml:space="preserve">Sensibilizados sobre la obligación de cada miembro de la comunidad universitaria que se tiene de respetar los derechos humanos en la Universidad, para ser un ente multiplicador. </t>
  </si>
  <si>
    <t>Alianzas estratégicas realizadas con Organismos Internacionales de derechos humanos.</t>
  </si>
  <si>
    <t>Celebrada la Conmemoración del Día de los DDHH</t>
  </si>
  <si>
    <t>Actualizada  la normativa vigente ya que es parte de nuestras funciones</t>
  </si>
  <si>
    <t>30 enlaces que justifican y explican la campaña de comunicación y promoción</t>
  </si>
  <si>
    <t>16 Visitas realizadas y documentos intercambiados</t>
  </si>
  <si>
    <t>7 Visitas realizadas y documentos intercambiados</t>
  </si>
  <si>
    <t>Equipo de Oficina a Aduirir a) Un sillon (UNAH_VS), a) una unidad de aire acondicionado de 24 btu;, b)escritorio ejecutivo, c) Una silla ejecutiva, d) Modulares (CURLA) . a) Una silla ejecutiva; b) Librero; Para Delegaciones Nuevas a) 4 Escritorio b ) 4 Sillas ejecutivas c) 2 Mesa para Reuniones d) Sillas de Espera e) Archivo grande UCAS</t>
  </si>
  <si>
    <t>2.2.2. a) Campaña "Yo soy hombre y respeto los DDHH de la mujer" (Insumos: Conferencistas propuestos: Joaquín Mejía - Tegucigalpa, Abencio Fernández - Santa Rosa, José Amado Mancía - UNAH-VS, Tegucigalpa y Delegaciones próximas apoyo al IUDPAS y CPTRT / Viáticos: Delegados y Asistentes a cada Centro; a los 4 Centros del Delegado CSNO viáticos para el Conferencista / Refrigerio para 100 para cada Centro / Material: 5,000 llaveros con el tema).</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</si>
</sst>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 numFmtId="174" formatCode="#,##0.0000"/>
  </numFmts>
  <fonts count="91"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sz val="11"/>
      <color theme="0"/>
      <name val="Calibri"/>
      <family val="2"/>
    </font>
    <font>
      <sz val="12"/>
      <color theme="0"/>
      <name val="Arial"/>
      <family val="2"/>
    </font>
    <font>
      <sz val="10"/>
      <color theme="0"/>
      <name val="Arial"/>
      <family val="2"/>
    </font>
    <font>
      <b/>
      <sz val="14"/>
      <color theme="0"/>
      <name val="Calibri"/>
      <family val="2"/>
    </font>
    <font>
      <sz val="14"/>
      <color theme="0"/>
      <name val="Calibri"/>
      <family val="2"/>
    </font>
    <font>
      <b/>
      <sz val="14"/>
      <color theme="3"/>
      <name val="Calibri"/>
      <family val="2"/>
      <scheme val="minor"/>
    </font>
    <font>
      <b/>
      <sz val="14"/>
      <color theme="3"/>
      <name val="Calibri"/>
      <family val="2"/>
    </font>
    <font>
      <b/>
      <sz val="14"/>
      <name val="Calibri"/>
      <family val="2"/>
    </font>
    <font>
      <sz val="14"/>
      <name val="Calibri"/>
      <family val="2"/>
      <scheme val="minor"/>
    </font>
    <font>
      <sz val="14"/>
      <name val="Calibri"/>
      <family val="2"/>
    </font>
    <font>
      <b/>
      <sz val="12"/>
      <color theme="3"/>
      <name val="Calibri"/>
      <family val="2"/>
      <scheme val="minor"/>
    </font>
    <font>
      <b/>
      <sz val="12"/>
      <color theme="3"/>
      <name val="Calibri"/>
      <family val="2"/>
    </font>
    <font>
      <b/>
      <sz val="14"/>
      <color theme="1"/>
      <name val="Calibri"/>
      <family val="2"/>
      <scheme val="minor"/>
    </font>
    <font>
      <b/>
      <sz val="16"/>
      <color theme="3"/>
      <name val="Calibri"/>
      <family val="2"/>
    </font>
    <font>
      <b/>
      <sz val="11"/>
      <color theme="3"/>
      <name val="Calibri"/>
      <family val="2"/>
    </font>
    <font>
      <b/>
      <sz val="10"/>
      <color theme="3"/>
      <name val="Calibri"/>
      <family val="2"/>
    </font>
    <font>
      <b/>
      <sz val="12"/>
      <color rgb="FFFF0000"/>
      <name val="Calibri"/>
      <family val="2"/>
      <scheme val="minor"/>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s>
  <borders count="64">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747">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8"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8"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8" applyNumberFormat="1" applyFont="1" applyAlignment="1">
      <alignment vertical="center"/>
    </xf>
    <xf numFmtId="0" fontId="53"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43" fontId="50"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6" fillId="0" borderId="0" xfId="0" applyFont="1" applyAlignment="1">
      <alignment horizontal="center" vertical="center"/>
    </xf>
    <xf numFmtId="43" fontId="56" fillId="0" borderId="0" xfId="18" applyFont="1" applyAlignment="1">
      <alignment vertical="center"/>
    </xf>
    <xf numFmtId="172" fontId="56" fillId="0" borderId="0" xfId="18" applyNumberFormat="1" applyFont="1" applyAlignment="1">
      <alignment vertical="center"/>
    </xf>
    <xf numFmtId="172" fontId="56"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3"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19" applyFont="1" applyAlignment="1">
      <alignment vertical="top"/>
    </xf>
    <xf numFmtId="0" fontId="59" fillId="0" borderId="0" xfId="0" applyFont="1"/>
    <xf numFmtId="0" fontId="59" fillId="0" borderId="0" xfId="19" applyFont="1"/>
    <xf numFmtId="0" fontId="26" fillId="0" borderId="0" xfId="19" applyFont="1" applyAlignment="1">
      <alignment vertical="top"/>
    </xf>
    <xf numFmtId="0" fontId="60" fillId="0" borderId="0" xfId="19"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8"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44" fontId="63" fillId="0" borderId="0" xfId="0" applyNumberFormat="1" applyFont="1" applyFill="1" applyBorder="1" applyAlignment="1">
      <alignment vertical="center"/>
    </xf>
    <xf numFmtId="0" fontId="57"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6" fillId="0" borderId="26" xfId="19" applyFont="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3"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9"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3" fillId="17" borderId="6" xfId="0" applyFont="1" applyFill="1" applyBorder="1" applyAlignment="1">
      <alignment vertical="center"/>
    </xf>
    <xf numFmtId="44" fontId="63"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71" fillId="0" borderId="53" xfId="0" applyFont="1" applyBorder="1" applyAlignment="1">
      <alignment horizontal="left" vertical="center"/>
    </xf>
    <xf numFmtId="44" fontId="0" fillId="0" borderId="54" xfId="0" applyNumberFormat="1" applyFill="1" applyBorder="1" applyAlignment="1">
      <alignment vertical="center"/>
    </xf>
    <xf numFmtId="0" fontId="73"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29" fillId="0" borderId="26" xfId="19"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57" fillId="0" borderId="0" xfId="19" applyFont="1" applyBorder="1" applyAlignment="1">
      <alignment horizontal="left" vertical="center"/>
    </xf>
    <xf numFmtId="0" fontId="49" fillId="2" borderId="0" xfId="0" applyFont="1" applyFill="1" applyBorder="1" applyAlignment="1">
      <alignment vertical="center"/>
    </xf>
    <xf numFmtId="0" fontId="74" fillId="2" borderId="0" xfId="19" applyFont="1" applyFill="1" applyBorder="1" applyAlignment="1">
      <alignment horizontal="left" vertical="center"/>
    </xf>
    <xf numFmtId="0" fontId="39" fillId="0" borderId="0" xfId="19" applyFont="1" applyBorder="1" applyAlignment="1">
      <alignment vertical="center" wrapText="1"/>
    </xf>
    <xf numFmtId="0" fontId="75" fillId="2" borderId="0" xfId="19" applyFont="1" applyFill="1" applyBorder="1" applyAlignment="1">
      <alignment vertical="center"/>
    </xf>
    <xf numFmtId="0" fontId="76" fillId="0" borderId="0" xfId="19" applyFont="1" applyAlignment="1">
      <alignment vertical="top"/>
    </xf>
    <xf numFmtId="0" fontId="77" fillId="8" borderId="0" xfId="19" applyFont="1" applyFill="1" applyBorder="1" applyAlignment="1">
      <alignment vertical="top"/>
    </xf>
    <xf numFmtId="0" fontId="78" fillId="8" borderId="0" xfId="19" applyFont="1" applyFill="1" applyBorder="1" applyAlignment="1">
      <alignment vertical="top"/>
    </xf>
    <xf numFmtId="0" fontId="49" fillId="0" borderId="0" xfId="0" applyFont="1"/>
    <xf numFmtId="0" fontId="0" fillId="0" borderId="0" xfId="0" applyAlignment="1"/>
    <xf numFmtId="0" fontId="49" fillId="0" borderId="0" xfId="0" applyFont="1" applyAlignment="1"/>
    <xf numFmtId="0" fontId="49" fillId="2" borderId="0" xfId="0" applyFont="1" applyFill="1"/>
    <xf numFmtId="0" fontId="49" fillId="0" borderId="0" xfId="0" applyFont="1" applyFill="1"/>
    <xf numFmtId="4" fontId="49" fillId="0" borderId="0" xfId="0" applyNumberFormat="1" applyFont="1"/>
    <xf numFmtId="4" fontId="25" fillId="0" borderId="0" xfId="16" applyNumberFormat="1" applyFont="1" applyFill="1" applyBorder="1" applyAlignment="1">
      <alignment vertical="top"/>
    </xf>
    <xf numFmtId="4" fontId="27" fillId="0" borderId="13" xfId="16" applyNumberFormat="1" applyFont="1" applyFill="1" applyBorder="1" applyAlignment="1" applyProtection="1">
      <alignment vertical="top"/>
      <protection locked="0"/>
    </xf>
    <xf numFmtId="4" fontId="73" fillId="19" borderId="26" xfId="0" applyNumberFormat="1" applyFont="1" applyFill="1" applyBorder="1" applyAlignment="1" applyProtection="1">
      <alignment horizontal="center" vertical="center" wrapText="1"/>
      <protection locked="0"/>
    </xf>
    <xf numFmtId="4" fontId="28" fillId="21" borderId="26" xfId="0" applyNumberFormat="1" applyFont="1" applyFill="1" applyBorder="1" applyAlignment="1" applyProtection="1">
      <alignment horizontal="center" vertical="center" wrapText="1"/>
      <protection locked="0"/>
    </xf>
    <xf numFmtId="4" fontId="0" fillId="0" borderId="0" xfId="18" applyNumberFormat="1" applyFont="1"/>
    <xf numFmtId="9" fontId="33" fillId="10" borderId="26" xfId="18" applyNumberFormat="1" applyFont="1" applyFill="1" applyBorder="1" applyAlignment="1">
      <alignment horizontal="right" wrapText="1"/>
    </xf>
    <xf numFmtId="0" fontId="25" fillId="2" borderId="27" xfId="0" applyFont="1" applyFill="1" applyBorder="1" applyAlignment="1">
      <alignment horizontal="center" vertical="center" wrapText="1"/>
    </xf>
    <xf numFmtId="0" fontId="25" fillId="23" borderId="27" xfId="0" applyFont="1" applyFill="1" applyBorder="1" applyAlignment="1" applyProtection="1">
      <alignment horizontal="center" vertical="center" wrapText="1"/>
      <protection locked="0"/>
    </xf>
    <xf numFmtId="0" fontId="81" fillId="23" borderId="27" xfId="0" applyFont="1" applyFill="1" applyBorder="1" applyAlignment="1" applyProtection="1">
      <alignment horizontal="center" vertical="center" wrapText="1"/>
      <protection locked="0"/>
    </xf>
    <xf numFmtId="0" fontId="25" fillId="23" borderId="26" xfId="0" applyFont="1" applyFill="1" applyBorder="1" applyAlignment="1" applyProtection="1">
      <alignment horizontal="center" vertical="center" wrapText="1"/>
      <protection locked="0"/>
    </xf>
    <xf numFmtId="9" fontId="25" fillId="23" borderId="26" xfId="17" applyFont="1" applyFill="1" applyBorder="1" applyAlignment="1" applyProtection="1">
      <alignment horizontal="center" vertical="center" wrapText="1"/>
      <protection locked="0"/>
    </xf>
    <xf numFmtId="4" fontId="25" fillId="23" borderId="26" xfId="0" applyNumberFormat="1" applyFont="1" applyFill="1" applyBorder="1" applyAlignment="1" applyProtection="1">
      <alignment horizontal="center" vertical="center" wrapText="1"/>
      <protection locked="0"/>
    </xf>
    <xf numFmtId="0" fontId="82" fillId="0" borderId="26" xfId="0" applyFont="1" applyBorder="1" applyAlignment="1">
      <alignment horizontal="center" vertical="center" wrapText="1"/>
    </xf>
    <xf numFmtId="0" fontId="82" fillId="0" borderId="26" xfId="0" applyFont="1" applyFill="1" applyBorder="1" applyAlignment="1">
      <alignment horizontal="center" vertical="center" wrapText="1"/>
    </xf>
    <xf numFmtId="9" fontId="82" fillId="0" borderId="26" xfId="0" applyNumberFormat="1" applyFont="1" applyFill="1" applyBorder="1" applyAlignment="1">
      <alignment horizontal="center" vertical="center" wrapText="1"/>
    </xf>
    <xf numFmtId="43" fontId="82" fillId="0" borderId="26" xfId="18" applyFont="1" applyFill="1" applyBorder="1" applyAlignment="1">
      <alignment horizontal="center" vertical="center" wrapText="1"/>
    </xf>
    <xf numFmtId="4" fontId="83" fillId="0" borderId="26" xfId="18" applyNumberFormat="1" applyFont="1" applyFill="1" applyBorder="1" applyAlignment="1">
      <alignment horizontal="center" vertical="center" wrapText="1"/>
    </xf>
    <xf numFmtId="9" fontId="79" fillId="0" borderId="27" xfId="0" applyNumberFormat="1" applyFont="1" applyFill="1" applyBorder="1" applyAlignment="1">
      <alignment vertical="center"/>
    </xf>
    <xf numFmtId="43" fontId="79" fillId="0" borderId="27" xfId="18" applyFont="1" applyFill="1" applyBorder="1" applyAlignment="1">
      <alignment vertical="center"/>
    </xf>
    <xf numFmtId="9" fontId="80" fillId="23" borderId="27" xfId="17" applyFont="1" applyFill="1" applyBorder="1" applyAlignment="1" applyProtection="1">
      <alignment vertical="center"/>
      <protection locked="0"/>
    </xf>
    <xf numFmtId="4" fontId="80" fillId="0" borderId="27" xfId="18" applyNumberFormat="1" applyFont="1" applyFill="1" applyBorder="1" applyAlignment="1">
      <alignment vertical="center"/>
    </xf>
    <xf numFmtId="0" fontId="25" fillId="0" borderId="30" xfId="16" applyFont="1" applyBorder="1" applyAlignment="1">
      <alignment horizontal="center" vertical="center" wrapText="1"/>
    </xf>
    <xf numFmtId="0" fontId="79" fillId="0" borderId="30" xfId="0" applyFont="1" applyFill="1" applyBorder="1" applyAlignment="1">
      <alignment horizontal="center" vertical="center" wrapText="1"/>
    </xf>
    <xf numFmtId="0" fontId="79" fillId="0" borderId="30" xfId="0" applyFont="1" applyBorder="1" applyAlignment="1">
      <alignment horizontal="center" vertical="center" wrapText="1"/>
    </xf>
    <xf numFmtId="0" fontId="79" fillId="0" borderId="27" xfId="0" applyFont="1" applyBorder="1" applyAlignment="1">
      <alignment horizontal="center" vertical="center" wrapText="1"/>
    </xf>
    <xf numFmtId="0" fontId="79" fillId="0" borderId="27" xfId="0" applyFont="1" applyFill="1" applyBorder="1" applyAlignment="1">
      <alignment horizontal="center" vertical="center" wrapText="1"/>
    </xf>
    <xf numFmtId="4" fontId="25" fillId="8" borderId="0" xfId="19" applyNumberFormat="1" applyFont="1" applyFill="1" applyBorder="1" applyAlignment="1">
      <alignment vertical="top"/>
    </xf>
    <xf numFmtId="4" fontId="27" fillId="9" borderId="13" xfId="19" applyNumberFormat="1" applyFont="1" applyFill="1" applyBorder="1" applyAlignment="1" applyProtection="1">
      <alignment vertical="top"/>
      <protection locked="0"/>
    </xf>
    <xf numFmtId="4" fontId="33" fillId="10" borderId="26" xfId="18" applyNumberFormat="1" applyFont="1" applyFill="1" applyBorder="1" applyAlignment="1">
      <alignment horizontal="right" wrapText="1"/>
    </xf>
    <xf numFmtId="3" fontId="25" fillId="8" borderId="0" xfId="19" applyNumberFormat="1" applyFont="1" applyFill="1" applyBorder="1" applyAlignment="1">
      <alignment vertical="top"/>
    </xf>
    <xf numFmtId="3" fontId="27" fillId="9" borderId="13" xfId="19" applyNumberFormat="1" applyFont="1" applyFill="1" applyBorder="1" applyAlignment="1" applyProtection="1">
      <alignment vertical="top"/>
      <protection locked="0"/>
    </xf>
    <xf numFmtId="3" fontId="73" fillId="19" borderId="26" xfId="0" applyNumberFormat="1" applyFont="1" applyFill="1" applyBorder="1" applyAlignment="1" applyProtection="1">
      <alignment horizontal="center" vertical="center" wrapText="1"/>
      <protection locked="0"/>
    </xf>
    <xf numFmtId="3" fontId="28" fillId="21" borderId="26" xfId="0" applyNumberFormat="1" applyFont="1" applyFill="1" applyBorder="1" applyAlignment="1" applyProtection="1">
      <alignment horizontal="center" vertical="center" wrapText="1"/>
      <protection locked="0"/>
    </xf>
    <xf numFmtId="3" fontId="33" fillId="10" borderId="26" xfId="18" applyNumberFormat="1" applyFont="1" applyFill="1" applyBorder="1" applyAlignment="1">
      <alignment horizontal="right" wrapText="1"/>
    </xf>
    <xf numFmtId="3" fontId="0" fillId="0" borderId="0" xfId="18" applyNumberFormat="1" applyFont="1"/>
    <xf numFmtId="0" fontId="84" fillId="0" borderId="26" xfId="0" applyFont="1" applyBorder="1" applyAlignment="1">
      <alignment horizontal="center" vertical="center" wrapText="1"/>
    </xf>
    <xf numFmtId="0" fontId="84" fillId="0" borderId="26" xfId="0" applyFont="1" applyFill="1" applyBorder="1" applyAlignment="1">
      <alignment horizontal="center" vertical="center" wrapText="1"/>
    </xf>
    <xf numFmtId="9" fontId="84" fillId="0" borderId="26" xfId="0" applyNumberFormat="1" applyFont="1" applyBorder="1" applyAlignment="1">
      <alignment horizontal="center" vertical="center" wrapText="1"/>
    </xf>
    <xf numFmtId="4" fontId="84" fillId="0" borderId="26" xfId="18" applyNumberFormat="1" applyFont="1" applyBorder="1" applyAlignment="1">
      <alignment horizontal="center" vertical="center" wrapText="1"/>
    </xf>
    <xf numFmtId="3" fontId="84" fillId="0" borderId="26" xfId="18" applyNumberFormat="1" applyFont="1" applyBorder="1" applyAlignment="1">
      <alignment horizontal="center" vertical="center" wrapText="1"/>
    </xf>
    <xf numFmtId="9" fontId="84" fillId="0" borderId="26" xfId="17" applyFont="1" applyBorder="1" applyAlignment="1">
      <alignment horizontal="center" vertical="center" wrapText="1"/>
    </xf>
    <xf numFmtId="0" fontId="51" fillId="0" borderId="0" xfId="0" applyFont="1"/>
    <xf numFmtId="4" fontId="84" fillId="0" borderId="27" xfId="18" applyNumberFormat="1" applyFont="1" applyBorder="1" applyAlignment="1">
      <alignment horizontal="center" vertical="center" wrapText="1"/>
    </xf>
    <xf numFmtId="3" fontId="84" fillId="0" borderId="27" xfId="18" applyNumberFormat="1" applyFont="1" applyBorder="1" applyAlignment="1">
      <alignment horizontal="center" vertical="center" wrapText="1"/>
    </xf>
    <xf numFmtId="43" fontId="84" fillId="0" borderId="26" xfId="0" applyNumberFormat="1" applyFont="1" applyBorder="1" applyAlignment="1">
      <alignment horizontal="center" vertical="center" wrapText="1"/>
    </xf>
    <xf numFmtId="0" fontId="22" fillId="5" borderId="1" xfId="0" applyFont="1" applyFill="1" applyBorder="1" applyAlignment="1">
      <alignment horizontal="center" vertical="center"/>
    </xf>
    <xf numFmtId="0" fontId="84" fillId="0" borderId="30" xfId="0" applyFont="1" applyBorder="1" applyAlignment="1">
      <alignment vertical="center" wrapText="1"/>
    </xf>
    <xf numFmtId="0" fontId="84" fillId="0" borderId="27" xfId="0" applyFont="1" applyBorder="1" applyAlignment="1">
      <alignment vertical="center" wrapText="1"/>
    </xf>
    <xf numFmtId="41" fontId="22" fillId="0" borderId="9" xfId="0" applyNumberFormat="1" applyFont="1" applyFill="1" applyBorder="1" applyAlignment="1">
      <alignment vertical="center"/>
    </xf>
    <xf numFmtId="41" fontId="22" fillId="0" borderId="10" xfId="0" applyNumberFormat="1" applyFont="1" applyFill="1" applyBorder="1" applyAlignment="1">
      <alignment vertical="center"/>
    </xf>
    <xf numFmtId="2" fontId="84" fillId="0" borderId="27" xfId="18" applyNumberFormat="1" applyFont="1" applyBorder="1" applyAlignment="1">
      <alignment horizontal="center" vertical="center" wrapText="1"/>
    </xf>
    <xf numFmtId="2" fontId="84" fillId="0" borderId="26" xfId="18" applyNumberFormat="1" applyFont="1" applyBorder="1" applyAlignment="1">
      <alignment horizontal="center" vertical="center" wrapText="1"/>
    </xf>
    <xf numFmtId="10" fontId="84" fillId="0" borderId="26" xfId="0" applyNumberFormat="1" applyFont="1" applyBorder="1" applyAlignment="1">
      <alignment horizontal="center" vertical="center" wrapText="1"/>
    </xf>
    <xf numFmtId="0" fontId="48" fillId="0" borderId="0" xfId="0" applyFont="1"/>
    <xf numFmtId="0" fontId="22" fillId="2" borderId="26" xfId="0" applyFont="1" applyFill="1" applyBorder="1" applyAlignment="1">
      <alignment horizontal="center" vertical="center"/>
    </xf>
    <xf numFmtId="0" fontId="22" fillId="2" borderId="57" xfId="0" applyFont="1" applyFill="1" applyBorder="1" applyAlignment="1">
      <alignment horizontal="center" vertical="center"/>
    </xf>
    <xf numFmtId="41" fontId="22" fillId="2" borderId="26" xfId="0" applyNumberFormat="1" applyFont="1" applyFill="1" applyBorder="1" applyAlignment="1">
      <alignment vertical="center"/>
    </xf>
    <xf numFmtId="41" fontId="22" fillId="2" borderId="59" xfId="0" applyNumberFormat="1" applyFont="1" applyFill="1" applyBorder="1" applyAlignment="1">
      <alignment horizontal="center" vertical="center"/>
    </xf>
    <xf numFmtId="41" fontId="22" fillId="2" borderId="57" xfId="0" applyNumberFormat="1" applyFont="1" applyFill="1" applyBorder="1" applyAlignment="1">
      <alignment horizontal="center" vertical="center"/>
    </xf>
    <xf numFmtId="0" fontId="23" fillId="14" borderId="60" xfId="0" applyFont="1" applyFill="1" applyBorder="1" applyAlignment="1">
      <alignment horizontal="center" vertical="center"/>
    </xf>
    <xf numFmtId="0" fontId="23" fillId="14" borderId="26" xfId="0" applyNumberFormat="1" applyFont="1" applyFill="1" applyBorder="1" applyAlignment="1">
      <alignment horizontal="center" vertical="center"/>
    </xf>
    <xf numFmtId="0" fontId="22" fillId="14" borderId="61" xfId="0" applyFont="1" applyFill="1" applyBorder="1" applyAlignment="1">
      <alignment horizontal="center" vertical="center"/>
    </xf>
    <xf numFmtId="0" fontId="23" fillId="14" borderId="38" xfId="0" applyFont="1" applyFill="1" applyBorder="1" applyAlignment="1">
      <alignment horizontal="center" vertical="center"/>
    </xf>
    <xf numFmtId="0" fontId="23" fillId="14" borderId="62" xfId="0" applyFont="1" applyFill="1" applyBorder="1" applyAlignment="1">
      <alignment horizontal="center" vertical="center"/>
    </xf>
    <xf numFmtId="0" fontId="23" fillId="14" borderId="63" xfId="0" applyNumberFormat="1" applyFont="1" applyFill="1" applyBorder="1" applyAlignment="1">
      <alignment horizontal="center" vertical="center"/>
    </xf>
    <xf numFmtId="0" fontId="21" fillId="2" borderId="10" xfId="0" applyFont="1" applyFill="1" applyBorder="1" applyAlignment="1">
      <alignment vertical="center"/>
    </xf>
    <xf numFmtId="0" fontId="3" fillId="14" borderId="12" xfId="0" applyFont="1" applyFill="1" applyBorder="1" applyAlignment="1">
      <alignment vertical="center"/>
    </xf>
    <xf numFmtId="0" fontId="3" fillId="14" borderId="13" xfId="0" applyNumberFormat="1" applyFont="1" applyFill="1" applyBorder="1" applyAlignment="1">
      <alignment horizontal="center" vertical="center"/>
    </xf>
    <xf numFmtId="174" fontId="86" fillId="0" borderId="0" xfId="0" applyNumberFormat="1" applyFont="1"/>
    <xf numFmtId="4" fontId="42" fillId="0" borderId="0" xfId="18" applyNumberFormat="1" applyFont="1"/>
    <xf numFmtId="4" fontId="81" fillId="10" borderId="26" xfId="18" applyNumberFormat="1" applyFont="1" applyFill="1" applyBorder="1" applyAlignment="1">
      <alignment horizontal="right" wrapText="1"/>
    </xf>
    <xf numFmtId="4" fontId="14" fillId="0" borderId="0" xfId="18" applyNumberFormat="1" applyFont="1"/>
    <xf numFmtId="4" fontId="86" fillId="0" borderId="0" xfId="18" applyNumberFormat="1" applyFont="1"/>
    <xf numFmtId="0" fontId="80" fillId="8" borderId="0" xfId="16" applyFont="1" applyFill="1" applyBorder="1" applyAlignment="1">
      <alignment vertical="top"/>
    </xf>
    <xf numFmtId="0" fontId="88" fillId="20" borderId="44" xfId="0" applyFont="1" applyFill="1" applyBorder="1" applyAlignment="1">
      <alignment horizontal="center" vertical="center" wrapText="1"/>
    </xf>
    <xf numFmtId="0" fontId="88" fillId="20" borderId="28" xfId="0" applyFont="1" applyFill="1" applyBorder="1" applyAlignment="1">
      <alignment horizontal="center" vertical="center" wrapText="1"/>
    </xf>
    <xf numFmtId="0" fontId="85" fillId="21" borderId="27" xfId="0" applyFont="1" applyFill="1" applyBorder="1" applyAlignment="1" applyProtection="1">
      <alignment horizontal="center" vertical="center" wrapText="1"/>
      <protection locked="0"/>
    </xf>
    <xf numFmtId="0" fontId="89" fillId="21" borderId="26" xfId="0" applyFont="1" applyFill="1" applyBorder="1" applyAlignment="1" applyProtection="1">
      <alignment horizontal="center" vertical="center" wrapText="1"/>
      <protection locked="0"/>
    </xf>
    <xf numFmtId="0" fontId="88" fillId="20" borderId="27" xfId="0" applyFont="1" applyFill="1" applyBorder="1" applyAlignment="1">
      <alignment horizontal="center" vertical="center" wrapText="1"/>
    </xf>
    <xf numFmtId="0" fontId="89" fillId="21" borderId="27" xfId="0" applyFont="1" applyFill="1" applyBorder="1" applyAlignment="1" applyProtection="1">
      <alignment horizontal="center" vertical="center" wrapText="1"/>
      <protection locked="0"/>
    </xf>
    <xf numFmtId="0" fontId="85" fillId="10" borderId="37" xfId="16" applyFont="1" applyFill="1" applyBorder="1" applyAlignment="1">
      <alignment vertical="center"/>
    </xf>
    <xf numFmtId="0" fontId="85" fillId="10" borderId="16" xfId="16" applyFont="1" applyFill="1" applyBorder="1" applyAlignment="1">
      <alignment vertical="center"/>
    </xf>
    <xf numFmtId="0" fontId="85" fillId="10" borderId="36" xfId="16" applyFont="1" applyFill="1" applyBorder="1" applyAlignment="1">
      <alignment vertical="center"/>
    </xf>
    <xf numFmtId="0" fontId="84" fillId="0" borderId="27" xfId="0" applyFont="1" applyBorder="1" applyAlignment="1">
      <alignment horizontal="center" vertical="center" wrapText="1"/>
    </xf>
    <xf numFmtId="0" fontId="85" fillId="0" borderId="26" xfId="16" applyFont="1" applyBorder="1" applyAlignment="1">
      <alignment horizontal="center" vertical="center" wrapText="1"/>
    </xf>
    <xf numFmtId="0" fontId="85" fillId="10" borderId="26" xfId="16" applyFont="1" applyFill="1" applyBorder="1" applyAlignment="1">
      <alignment horizontal="right" wrapText="1"/>
    </xf>
    <xf numFmtId="0" fontId="85" fillId="10" borderId="26" xfId="16" applyFont="1" applyFill="1" applyBorder="1" applyAlignment="1">
      <alignment vertical="top" wrapText="1"/>
    </xf>
    <xf numFmtId="41" fontId="22" fillId="2" borderId="0" xfId="0" applyNumberFormat="1" applyFont="1" applyFill="1" applyAlignment="1">
      <alignment vertical="center"/>
    </xf>
    <xf numFmtId="41" fontId="21" fillId="2" borderId="0" xfId="0" applyNumberFormat="1" applyFont="1" applyFill="1" applyAlignment="1">
      <alignment vertical="center"/>
    </xf>
    <xf numFmtId="41" fontId="22" fillId="2" borderId="0" xfId="0" applyNumberFormat="1" applyFont="1" applyFill="1" applyAlignment="1">
      <alignment horizontal="center" vertical="center"/>
    </xf>
    <xf numFmtId="43" fontId="22" fillId="2" borderId="12" xfId="0" applyNumberFormat="1" applyFont="1" applyFill="1" applyBorder="1" applyAlignment="1">
      <alignment vertical="center"/>
    </xf>
    <xf numFmtId="41" fontId="14" fillId="0" borderId="0" xfId="0" applyNumberFormat="1" applyFont="1" applyAlignment="1">
      <alignment horizontal="center" vertical="center"/>
    </xf>
    <xf numFmtId="41" fontId="21" fillId="2" borderId="0" xfId="0" applyNumberFormat="1" applyFont="1" applyFill="1" applyAlignment="1">
      <alignment horizontal="center" vertical="center"/>
    </xf>
    <xf numFmtId="41" fontId="22" fillId="3" borderId="38" xfId="0" applyNumberFormat="1" applyFont="1" applyFill="1" applyBorder="1" applyAlignment="1">
      <alignment vertical="center"/>
    </xf>
    <xf numFmtId="0" fontId="22" fillId="3" borderId="0" xfId="0" applyFont="1" applyFill="1" applyAlignment="1">
      <alignment vertical="center"/>
    </xf>
    <xf numFmtId="41" fontId="90" fillId="3" borderId="0" xfId="0" applyNumberFormat="1" applyFont="1" applyFill="1" applyAlignment="1">
      <alignment horizontal="center" vertical="center"/>
    </xf>
    <xf numFmtId="0" fontId="22" fillId="2" borderId="12" xfId="0" applyFont="1" applyFill="1" applyBorder="1" applyAlignment="1">
      <alignment horizontal="left" vertical="center" wrapText="1"/>
    </xf>
    <xf numFmtId="0" fontId="22" fillId="5" borderId="12"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22" fillId="5" borderId="12" xfId="0" applyFont="1" applyFill="1" applyBorder="1" applyAlignment="1">
      <alignment horizontal="left" vertical="center"/>
    </xf>
    <xf numFmtId="9" fontId="85" fillId="0" borderId="26" xfId="17" applyFont="1" applyFill="1" applyBorder="1" applyAlignment="1">
      <alignment horizontal="center" vertical="center" wrapText="1"/>
    </xf>
    <xf numFmtId="2" fontId="80" fillId="8" borderId="0" xfId="16" applyNumberFormat="1" applyFont="1" applyFill="1" applyBorder="1" applyAlignment="1">
      <alignment vertical="top"/>
    </xf>
    <xf numFmtId="2" fontId="89" fillId="21" borderId="26" xfId="0" applyNumberFormat="1" applyFont="1" applyFill="1" applyBorder="1" applyAlignment="1" applyProtection="1">
      <alignment horizontal="center" vertical="center" wrapText="1"/>
      <protection locked="0"/>
    </xf>
    <xf numFmtId="2" fontId="85" fillId="10" borderId="26" xfId="18" applyNumberFormat="1" applyFont="1" applyFill="1" applyBorder="1" applyAlignment="1">
      <alignment horizontal="right" wrapText="1"/>
    </xf>
    <xf numFmtId="2" fontId="48" fillId="0" borderId="0" xfId="18" applyNumberFormat="1" applyFont="1"/>
    <xf numFmtId="9" fontId="80" fillId="8" borderId="0" xfId="17" applyFont="1" applyFill="1" applyBorder="1" applyAlignment="1">
      <alignment vertical="top"/>
    </xf>
    <xf numFmtId="9" fontId="89" fillId="21" borderId="26" xfId="17" applyFont="1" applyFill="1" applyBorder="1" applyAlignment="1" applyProtection="1">
      <alignment horizontal="center" vertical="center" wrapText="1"/>
      <protection locked="0"/>
    </xf>
    <xf numFmtId="9" fontId="85" fillId="10" borderId="26" xfId="17" applyFont="1" applyFill="1" applyBorder="1" applyAlignment="1">
      <alignment horizontal="right" wrapText="1"/>
    </xf>
    <xf numFmtId="9" fontId="48" fillId="0" borderId="0" xfId="17" applyFont="1"/>
    <xf numFmtId="2" fontId="85" fillId="0" borderId="26" xfId="18" applyNumberFormat="1" applyFont="1" applyFill="1" applyBorder="1" applyAlignment="1">
      <alignment horizontal="center" vertical="center" wrapText="1"/>
    </xf>
    <xf numFmtId="1" fontId="84" fillId="0" borderId="26" xfId="17" applyNumberFormat="1" applyFont="1" applyBorder="1" applyAlignment="1">
      <alignment horizontal="center" vertical="center" wrapText="1"/>
    </xf>
    <xf numFmtId="2" fontId="79" fillId="0" borderId="0" xfId="17" applyNumberFormat="1" applyFont="1"/>
    <xf numFmtId="4" fontId="85" fillId="0" borderId="26" xfId="18" applyNumberFormat="1" applyFont="1" applyFill="1" applyBorder="1" applyAlignment="1">
      <alignment horizontal="center" vertical="center" wrapText="1"/>
    </xf>
    <xf numFmtId="41" fontId="21" fillId="6" borderId="45" xfId="0" applyNumberFormat="1" applyFont="1" applyFill="1" applyBorder="1" applyAlignment="1">
      <alignment vertical="center"/>
    </xf>
    <xf numFmtId="41" fontId="21" fillId="6" borderId="16" xfId="0" applyNumberFormat="1" applyFont="1" applyFill="1" applyBorder="1" applyAlignment="1">
      <alignment vertical="center"/>
    </xf>
    <xf numFmtId="1" fontId="84" fillId="0" borderId="26" xfId="17" applyNumberFormat="1" applyFont="1" applyFill="1" applyBorder="1" applyAlignment="1">
      <alignment horizontal="center" vertical="center" wrapText="1"/>
    </xf>
    <xf numFmtId="2" fontId="84" fillId="0" borderId="26" xfId="18" applyNumberFormat="1" applyFont="1" applyFill="1" applyBorder="1" applyAlignment="1">
      <alignment horizontal="center" vertical="center" wrapText="1"/>
    </xf>
    <xf numFmtId="9" fontId="84" fillId="0" borderId="26" xfId="0" applyNumberFormat="1" applyFont="1" applyFill="1" applyBorder="1" applyAlignment="1">
      <alignment horizontal="center" vertical="center" wrapText="1"/>
    </xf>
    <xf numFmtId="41" fontId="22" fillId="3" borderId="58" xfId="0" applyNumberFormat="1" applyFont="1" applyFill="1" applyBorder="1" applyAlignment="1">
      <alignment vertical="center"/>
    </xf>
    <xf numFmtId="41" fontId="21" fillId="2" borderId="0" xfId="0" applyNumberFormat="1" applyFont="1" applyFill="1" applyAlignment="1">
      <alignment horizontal="left" vertical="center"/>
    </xf>
    <xf numFmtId="9" fontId="84" fillId="0" borderId="26" xfId="17" applyFont="1" applyFill="1" applyBorder="1" applyAlignment="1">
      <alignment horizontal="center" vertical="center" wrapText="1"/>
    </xf>
    <xf numFmtId="0" fontId="84" fillId="0" borderId="27" xfId="0" applyFont="1" applyFill="1" applyBorder="1" applyAlignment="1">
      <alignment vertical="center" wrapText="1"/>
    </xf>
    <xf numFmtId="0" fontId="22" fillId="5" borderId="18" xfId="0" applyNumberFormat="1" applyFont="1" applyFill="1" applyBorder="1" applyAlignment="1">
      <alignment horizontal="right" vertical="center"/>
    </xf>
    <xf numFmtId="2" fontId="73" fillId="19" borderId="26" xfId="0" applyNumberFormat="1" applyFont="1" applyFill="1" applyBorder="1" applyAlignment="1" applyProtection="1">
      <alignment horizontal="center" vertical="center" wrapText="1"/>
      <protection locked="0"/>
    </xf>
    <xf numFmtId="9" fontId="73" fillId="19" borderId="26" xfId="17" applyFont="1" applyFill="1" applyBorder="1" applyAlignment="1" applyProtection="1">
      <alignment horizontal="center" vertical="center" wrapText="1"/>
      <protection locked="0"/>
    </xf>
    <xf numFmtId="0" fontId="84" fillId="0" borderId="30" xfId="0" applyFont="1" applyFill="1" applyBorder="1" applyAlignment="1">
      <alignment vertical="center" wrapText="1"/>
    </xf>
    <xf numFmtId="0" fontId="84" fillId="0" borderId="26" xfId="0" applyFont="1" applyFill="1" applyBorder="1" applyAlignment="1">
      <alignment vertical="center" wrapText="1"/>
    </xf>
    <xf numFmtId="2" fontId="84" fillId="0" borderId="26" xfId="17" applyNumberFormat="1" applyFont="1" applyBorder="1" applyAlignment="1">
      <alignment horizontal="center" vertical="center" wrapText="1"/>
    </xf>
    <xf numFmtId="2" fontId="84" fillId="0" borderId="26" xfId="0" applyNumberFormat="1" applyFont="1" applyFill="1" applyBorder="1" applyAlignment="1">
      <alignment horizontal="center" vertical="center" wrapText="1"/>
    </xf>
    <xf numFmtId="9" fontId="84" fillId="0" borderId="27" xfId="0" applyNumberFormat="1" applyFont="1" applyFill="1" applyBorder="1" applyAlignment="1">
      <alignment horizontal="center" vertical="center" wrapText="1"/>
    </xf>
    <xf numFmtId="2" fontId="84" fillId="0" borderId="30" xfId="0" applyNumberFormat="1" applyFont="1" applyFill="1" applyBorder="1" applyAlignment="1">
      <alignment horizontal="center" vertical="center" wrapText="1"/>
    </xf>
    <xf numFmtId="1" fontId="85" fillId="0" borderId="26" xfId="17" applyNumberFormat="1" applyFont="1" applyFill="1" applyBorder="1" applyAlignment="1">
      <alignment horizontal="center" vertical="center" wrapText="1"/>
    </xf>
    <xf numFmtId="1" fontId="84" fillId="0" borderId="26" xfId="0" applyNumberFormat="1"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70"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3" fillId="19" borderId="30" xfId="0" applyFont="1" applyFill="1" applyBorder="1" applyAlignment="1" applyProtection="1">
      <alignment horizontal="center" vertical="center" wrapText="1"/>
      <protection locked="0"/>
    </xf>
    <xf numFmtId="0" fontId="73" fillId="19" borderId="28" xfId="0" applyFont="1" applyFill="1" applyBorder="1" applyAlignment="1" applyProtection="1">
      <alignment horizontal="center" vertical="center" wrapText="1"/>
      <protection locked="0"/>
    </xf>
    <xf numFmtId="0" fontId="73" fillId="19" borderId="27" xfId="0" applyFont="1" applyFill="1" applyBorder="1" applyAlignment="1" applyProtection="1">
      <alignment horizontal="center" vertical="center" wrapText="1"/>
      <protection locked="0"/>
    </xf>
    <xf numFmtId="0" fontId="72" fillId="18" borderId="30" xfId="0" applyFont="1" applyFill="1" applyBorder="1" applyAlignment="1">
      <alignment horizontal="center" vertical="center" wrapText="1"/>
    </xf>
    <xf numFmtId="0" fontId="72" fillId="18" borderId="28" xfId="0" applyFont="1" applyFill="1" applyBorder="1" applyAlignment="1">
      <alignment horizontal="center" vertical="center" wrapText="1"/>
    </xf>
    <xf numFmtId="0" fontId="72" fillId="18" borderId="27" xfId="0" applyFont="1" applyFill="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2" fillId="18" borderId="37" xfId="0" applyFont="1" applyFill="1" applyBorder="1" applyAlignment="1">
      <alignment horizontal="center" vertical="center" wrapText="1"/>
    </xf>
    <xf numFmtId="0" fontId="72" fillId="18" borderId="36" xfId="0" applyFont="1" applyFill="1" applyBorder="1" applyAlignment="1">
      <alignment horizontal="center" vertical="center" wrapText="1"/>
    </xf>
    <xf numFmtId="0" fontId="72" fillId="19" borderId="29" xfId="0" applyFont="1" applyFill="1" applyBorder="1" applyAlignment="1" applyProtection="1">
      <alignment horizontal="center" vertical="center" wrapText="1"/>
      <protection locked="0"/>
    </xf>
    <xf numFmtId="0" fontId="72" fillId="19" borderId="31" xfId="0" applyFont="1" applyFill="1" applyBorder="1" applyAlignment="1" applyProtection="1">
      <alignment horizontal="center" vertical="center" wrapText="1"/>
      <protection locked="0"/>
    </xf>
    <xf numFmtId="0" fontId="72" fillId="19" borderId="42" xfId="0" applyFont="1" applyFill="1" applyBorder="1" applyAlignment="1" applyProtection="1">
      <alignment horizontal="center" vertical="center" wrapText="1"/>
      <protection locked="0"/>
    </xf>
    <xf numFmtId="0" fontId="72" fillId="19" borderId="43" xfId="0" applyFont="1" applyFill="1" applyBorder="1" applyAlignment="1" applyProtection="1">
      <alignment horizontal="center" vertical="center" wrapText="1"/>
      <protection locked="0"/>
    </xf>
    <xf numFmtId="0" fontId="72" fillId="18"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7" fillId="0" borderId="30" xfId="19" applyFont="1" applyFill="1" applyBorder="1" applyAlignment="1">
      <alignment horizontal="center" vertical="center" wrapText="1"/>
    </xf>
    <xf numFmtId="0" fontId="67" fillId="0" borderId="28" xfId="19" applyFont="1" applyFill="1" applyBorder="1" applyAlignment="1">
      <alignment horizontal="center" vertical="center" wrapText="1"/>
    </xf>
    <xf numFmtId="0" fontId="67" fillId="0" borderId="27" xfId="19" applyFont="1" applyFill="1" applyBorder="1" applyAlignment="1">
      <alignment horizontal="center" vertical="center" wrapText="1"/>
    </xf>
    <xf numFmtId="0" fontId="68" fillId="0" borderId="26" xfId="0" applyFont="1" applyBorder="1" applyAlignment="1">
      <alignment horizontal="center" vertical="center" wrapText="1"/>
    </xf>
    <xf numFmtId="0" fontId="68" fillId="0" borderId="30"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27" xfId="0" applyFont="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1" fillId="0" borderId="26" xfId="0" applyFont="1" applyBorder="1" applyAlignment="1">
      <alignment horizontal="center" vertical="center" wrapText="1"/>
    </xf>
    <xf numFmtId="0" fontId="84" fillId="0" borderId="30" xfId="0" applyFont="1" applyBorder="1" applyAlignment="1">
      <alignment horizontal="center" vertical="center" wrapText="1"/>
    </xf>
    <xf numFmtId="0" fontId="84" fillId="0" borderId="28" xfId="0" applyFont="1" applyBorder="1" applyAlignment="1">
      <alignment horizontal="center" vertical="center" wrapText="1"/>
    </xf>
    <xf numFmtId="0" fontId="85" fillId="0" borderId="30" xfId="19" applyFont="1" applyBorder="1" applyAlignment="1">
      <alignment horizontal="center" vertical="center" wrapText="1"/>
    </xf>
    <xf numFmtId="0" fontId="85" fillId="0" borderId="28" xfId="19" applyFont="1" applyBorder="1" applyAlignment="1">
      <alignment horizontal="center" vertical="center" wrapText="1"/>
    </xf>
    <xf numFmtId="0" fontId="85" fillId="0" borderId="27" xfId="19"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0"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6"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64" fillId="0" borderId="26" xfId="19" applyFont="1" applyBorder="1" applyAlignment="1">
      <alignment horizontal="center" vertical="center" wrapText="1"/>
    </xf>
    <xf numFmtId="0" fontId="87" fillId="8" borderId="0" xfId="16" applyFont="1" applyFill="1" applyBorder="1" applyAlignment="1">
      <alignment horizontal="center" vertical="top" wrapText="1"/>
    </xf>
    <xf numFmtId="0" fontId="88" fillId="9" borderId="13" xfId="16" applyFont="1" applyFill="1" applyBorder="1" applyAlignment="1" applyProtection="1">
      <alignment horizontal="left" vertical="top" wrapText="1"/>
      <protection locked="0"/>
    </xf>
    <xf numFmtId="0" fontId="88" fillId="9" borderId="13" xfId="16" applyFont="1" applyFill="1" applyBorder="1" applyAlignment="1" applyProtection="1">
      <alignment horizontal="left" vertical="top"/>
      <protection locked="0"/>
    </xf>
    <xf numFmtId="0" fontId="85" fillId="0" borderId="30" xfId="16" applyFont="1" applyBorder="1" applyAlignment="1">
      <alignment horizontal="center" vertical="center" wrapText="1"/>
    </xf>
    <xf numFmtId="0" fontId="85" fillId="0" borderId="28" xfId="16" applyFont="1" applyBorder="1" applyAlignment="1">
      <alignment horizontal="center" vertical="center" wrapText="1"/>
    </xf>
    <xf numFmtId="0" fontId="85" fillId="0" borderId="27" xfId="16" applyFont="1" applyBorder="1" applyAlignment="1">
      <alignment horizontal="center" vertical="center" wrapText="1"/>
    </xf>
    <xf numFmtId="0" fontId="84" fillId="0" borderId="27" xfId="0" applyFont="1" applyBorder="1" applyAlignment="1">
      <alignment horizontal="center" vertical="center" wrapText="1"/>
    </xf>
    <xf numFmtId="0" fontId="84" fillId="0" borderId="28" xfId="0" applyFont="1" applyBorder="1" applyAlignment="1">
      <alignment horizontal="center" vertical="center"/>
    </xf>
    <xf numFmtId="0" fontId="84" fillId="0" borderId="27" xfId="0" applyFont="1" applyBorder="1" applyAlignment="1">
      <alignment horizontal="center" vertical="center"/>
    </xf>
    <xf numFmtId="0" fontId="85" fillId="0" borderId="30" xfId="16" applyFont="1" applyBorder="1" applyAlignment="1">
      <alignment vertical="center" wrapText="1"/>
    </xf>
    <xf numFmtId="0" fontId="85" fillId="0" borderId="28" xfId="16" applyFont="1" applyBorder="1" applyAlignment="1">
      <alignment vertical="center" wrapText="1"/>
    </xf>
    <xf numFmtId="0" fontId="85" fillId="0" borderId="27" xfId="16" applyFont="1" applyBorder="1" applyAlignment="1">
      <alignment vertical="center" wrapText="1"/>
    </xf>
    <xf numFmtId="0" fontId="61" fillId="0" borderId="0" xfId="16" applyFont="1" applyFill="1" applyBorder="1" applyAlignment="1">
      <alignment horizontal="center" vertical="top" wrapText="1"/>
    </xf>
    <xf numFmtId="0" fontId="25" fillId="23" borderId="30" xfId="0" applyFont="1" applyFill="1" applyBorder="1" applyAlignment="1" applyProtection="1">
      <alignment horizontal="center" vertical="center" wrapText="1"/>
      <protection locked="0"/>
    </xf>
    <xf numFmtId="0" fontId="25" fillId="23" borderId="28" xfId="0" applyFont="1" applyFill="1" applyBorder="1" applyAlignment="1" applyProtection="1">
      <alignment horizontal="center" vertical="center" wrapText="1"/>
      <protection locked="0"/>
    </xf>
    <xf numFmtId="0" fontId="25" fillId="0" borderId="31" xfId="16" applyFont="1" applyBorder="1" applyAlignment="1">
      <alignment horizontal="center" vertical="center" wrapText="1"/>
    </xf>
    <xf numFmtId="0" fontId="25" fillId="0" borderId="44" xfId="16" applyFont="1" applyBorder="1" applyAlignment="1">
      <alignment horizontal="center" vertical="center" wrapText="1"/>
    </xf>
    <xf numFmtId="0" fontId="79" fillId="0" borderId="30" xfId="0" applyFont="1" applyBorder="1" applyAlignment="1">
      <alignment horizontal="center" vertical="center" wrapText="1"/>
    </xf>
    <xf numFmtId="0" fontId="79" fillId="0" borderId="28" xfId="0" applyFont="1" applyBorder="1" applyAlignment="1">
      <alignment horizontal="center" vertical="center" wrapText="1"/>
    </xf>
    <xf numFmtId="0" fontId="80" fillId="0" borderId="30" xfId="0" applyFont="1" applyFill="1" applyBorder="1" applyAlignment="1" applyProtection="1">
      <alignment horizontal="center" vertical="center" wrapText="1"/>
      <protection locked="0"/>
    </xf>
    <xf numFmtId="0" fontId="80" fillId="0" borderId="28" xfId="0" applyFont="1" applyFill="1" applyBorder="1" applyAlignment="1" applyProtection="1">
      <alignment horizontal="center" vertical="center" wrapText="1"/>
      <protection locked="0"/>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FFFF66"/>
      <color rgb="FFCCCCFF"/>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5</c:v>
                </c:pt>
              </c:numCache>
            </c:numRef>
          </c:val>
        </c:ser>
        <c:dLbls>
          <c:showLegendKey val="0"/>
          <c:showVal val="0"/>
          <c:showCatName val="0"/>
          <c:showSerName val="0"/>
          <c:showPercent val="0"/>
          <c:showBubbleSize val="0"/>
        </c:dLbls>
        <c:gapWidth val="150"/>
        <c:shape val="box"/>
        <c:axId val="167686624"/>
        <c:axId val="167687008"/>
        <c:axId val="0"/>
      </c:bar3DChart>
      <c:catAx>
        <c:axId val="167686624"/>
        <c:scaling>
          <c:orientation val="minMax"/>
        </c:scaling>
        <c:delete val="0"/>
        <c:axPos val="b"/>
        <c:numFmt formatCode="General" sourceLinked="0"/>
        <c:majorTickMark val="none"/>
        <c:minorTickMark val="none"/>
        <c:tickLblPos val="nextTo"/>
        <c:txPr>
          <a:bodyPr/>
          <a:lstStyle/>
          <a:p>
            <a:pPr>
              <a:defRPr lang="es-HN"/>
            </a:pPr>
            <a:endParaRPr lang="es-HN"/>
          </a:p>
        </c:txPr>
        <c:crossAx val="167687008"/>
        <c:crosses val="autoZero"/>
        <c:auto val="1"/>
        <c:lblAlgn val="ctr"/>
        <c:lblOffset val="100"/>
        <c:noMultiLvlLbl val="0"/>
      </c:catAx>
      <c:valAx>
        <c:axId val="16768700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67686624"/>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4</c:v>
                </c:pt>
                <c:pt idx="1">
                  <c:v>2</c:v>
                </c:pt>
                <c:pt idx="2">
                  <c:v>8</c:v>
                </c:pt>
                <c:pt idx="3">
                  <c:v>4</c:v>
                </c:pt>
                <c:pt idx="4">
                  <c:v>0</c:v>
                </c:pt>
                <c:pt idx="5">
                  <c:v>2</c:v>
                </c:pt>
                <c:pt idx="6">
                  <c:v>3</c:v>
                </c:pt>
                <c:pt idx="7">
                  <c:v>0</c:v>
                </c:pt>
                <c:pt idx="8">
                  <c:v>0</c:v>
                </c:pt>
                <c:pt idx="9">
                  <c:v>0</c:v>
                </c:pt>
              </c:numCache>
            </c:numRef>
          </c:val>
        </c:ser>
        <c:dLbls>
          <c:showLegendKey val="0"/>
          <c:showVal val="0"/>
          <c:showCatName val="0"/>
          <c:showSerName val="0"/>
          <c:showPercent val="0"/>
          <c:showBubbleSize val="0"/>
        </c:dLbls>
        <c:gapWidth val="150"/>
        <c:shape val="box"/>
        <c:axId val="167792816"/>
        <c:axId val="167793200"/>
        <c:axId val="0"/>
      </c:bar3DChart>
      <c:catAx>
        <c:axId val="167792816"/>
        <c:scaling>
          <c:orientation val="minMax"/>
        </c:scaling>
        <c:delete val="0"/>
        <c:axPos val="b"/>
        <c:numFmt formatCode="General" sourceLinked="0"/>
        <c:majorTickMark val="none"/>
        <c:minorTickMark val="none"/>
        <c:tickLblPos val="nextTo"/>
        <c:txPr>
          <a:bodyPr/>
          <a:lstStyle/>
          <a:p>
            <a:pPr>
              <a:defRPr lang="es-HN"/>
            </a:pPr>
            <a:endParaRPr lang="es-HN"/>
          </a:p>
        </c:txPr>
        <c:crossAx val="167793200"/>
        <c:crosses val="autoZero"/>
        <c:auto val="1"/>
        <c:lblAlgn val="ctr"/>
        <c:lblOffset val="100"/>
        <c:noMultiLvlLbl val="0"/>
      </c:catAx>
      <c:valAx>
        <c:axId val="16779320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67792816"/>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53"/>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3</c:v>
                </c:pt>
                <c:pt idx="1">
                  <c:v>0</c:v>
                </c:pt>
                <c:pt idx="2">
                  <c:v>0</c:v>
                </c:pt>
                <c:pt idx="3">
                  <c:v>12</c:v>
                </c:pt>
                <c:pt idx="4">
                  <c:v>0</c:v>
                </c:pt>
                <c:pt idx="5">
                  <c:v>0</c:v>
                </c:pt>
                <c:pt idx="6">
                  <c:v>0</c:v>
                </c:pt>
                <c:pt idx="7">
                  <c:v>2</c:v>
                </c:pt>
                <c:pt idx="8">
                  <c:v>4</c:v>
                </c:pt>
                <c:pt idx="9">
                  <c:v>0</c:v>
                </c:pt>
                <c:pt idx="10">
                  <c:v>0</c:v>
                </c:pt>
                <c:pt idx="11">
                  <c:v>0</c:v>
                </c:pt>
                <c:pt idx="12">
                  <c:v>3</c:v>
                </c:pt>
                <c:pt idx="13">
                  <c:v>4</c:v>
                </c:pt>
                <c:pt idx="14">
                  <c:v>4</c:v>
                </c:pt>
                <c:pt idx="15">
                  <c:v>0</c:v>
                </c:pt>
                <c:pt idx="16">
                  <c:v>0</c:v>
                </c:pt>
              </c:numCache>
            </c:numRef>
          </c:val>
        </c:ser>
        <c:dLbls>
          <c:showLegendKey val="0"/>
          <c:showVal val="0"/>
          <c:showCatName val="0"/>
          <c:showSerName val="0"/>
          <c:showPercent val="0"/>
          <c:showBubbleSize val="0"/>
        </c:dLbls>
        <c:gapWidth val="150"/>
        <c:shape val="box"/>
        <c:axId val="167915464"/>
        <c:axId val="167915848"/>
        <c:axId val="0"/>
      </c:bar3DChart>
      <c:catAx>
        <c:axId val="167915464"/>
        <c:scaling>
          <c:orientation val="minMax"/>
        </c:scaling>
        <c:delete val="0"/>
        <c:axPos val="b"/>
        <c:numFmt formatCode="General" sourceLinked="0"/>
        <c:majorTickMark val="none"/>
        <c:minorTickMark val="none"/>
        <c:tickLblPos val="nextTo"/>
        <c:txPr>
          <a:bodyPr/>
          <a:lstStyle/>
          <a:p>
            <a:pPr>
              <a:defRPr lang="es-HN"/>
            </a:pPr>
            <a:endParaRPr lang="es-HN"/>
          </a:p>
        </c:txPr>
        <c:crossAx val="167915848"/>
        <c:crosses val="autoZero"/>
        <c:auto val="1"/>
        <c:lblAlgn val="ctr"/>
        <c:lblOffset val="100"/>
        <c:noMultiLvlLbl val="0"/>
      </c:catAx>
      <c:valAx>
        <c:axId val="16791584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67915464"/>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285483</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192543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841101</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1383</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todo%20memoria\Nueva%20carpeta\todo%202015\POA%202016\POA-OFICINA%20DEL%20COMISIONADO%20UNIVERSITARIO%202016%20VALID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3. EQUIPO DE OFICINA"/>
      <sheetName val="2. CONTRATACION DE PERSONAL"/>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Hoja4"/>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 val="Hoja1"/>
      <sheetName val="Hoja2"/>
    </sheetNames>
    <sheetDataSet>
      <sheetData sheetId="0" refreshError="1"/>
      <sheetData sheetId="1" refreshError="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dataCellStyle="Millares"/>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dataCellStyle="Millares"/>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dataCellStyle="Millares"/>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46"/>
      <c r="U2" s="646"/>
      <c r="V2" s="646"/>
      <c r="W2" s="646"/>
      <c r="X2" s="646"/>
      <c r="Y2" s="646"/>
      <c r="Z2" s="646"/>
      <c r="AA2" s="646"/>
      <c r="AB2" s="646"/>
      <c r="AC2" s="646" t="s">
        <v>25</v>
      </c>
      <c r="AD2" s="646"/>
      <c r="AE2" s="646"/>
      <c r="AF2" s="646"/>
      <c r="AG2" s="646"/>
      <c r="AH2" s="646"/>
      <c r="AI2" s="646"/>
      <c r="AJ2" s="646"/>
    </row>
    <row r="3" spans="2:36" ht="16.5" customHeight="1" x14ac:dyDescent="0.25">
      <c r="B3" s="33" t="s">
        <v>7</v>
      </c>
      <c r="C3" s="33"/>
      <c r="D3" s="33"/>
      <c r="E3" s="33"/>
      <c r="F3" s="33"/>
      <c r="G3" s="33"/>
      <c r="H3" s="33"/>
      <c r="I3" s="33"/>
      <c r="J3" s="33"/>
      <c r="K3" s="33"/>
      <c r="L3" s="33"/>
      <c r="M3" s="33"/>
      <c r="N3" s="33"/>
      <c r="O3" s="33"/>
      <c r="P3" s="33"/>
      <c r="Q3" s="33"/>
      <c r="R3" s="33"/>
      <c r="S3" s="33"/>
      <c r="T3" s="646"/>
      <c r="U3" s="646"/>
      <c r="V3" s="646"/>
      <c r="W3" s="646"/>
      <c r="X3" s="646"/>
      <c r="Y3" s="646"/>
      <c r="Z3" s="646"/>
      <c r="AA3" s="646"/>
      <c r="AB3" s="646"/>
      <c r="AC3" s="646" t="s">
        <v>7</v>
      </c>
      <c r="AD3" s="646"/>
      <c r="AE3" s="646"/>
      <c r="AF3" s="646"/>
      <c r="AG3" s="646"/>
      <c r="AH3" s="646"/>
      <c r="AI3" s="646"/>
      <c r="AJ3" s="646"/>
    </row>
    <row r="4" spans="2:36" ht="12.75" customHeight="1" x14ac:dyDescent="0.25">
      <c r="B4" s="33" t="s">
        <v>36</v>
      </c>
      <c r="C4" s="33"/>
      <c r="D4" s="33"/>
      <c r="E4" s="33"/>
      <c r="F4" s="33"/>
      <c r="G4" s="33"/>
      <c r="H4" s="33"/>
      <c r="I4" s="33"/>
      <c r="J4" s="33"/>
      <c r="K4" s="33"/>
      <c r="L4" s="33"/>
      <c r="M4" s="33"/>
      <c r="N4" s="33"/>
      <c r="O4" s="33"/>
      <c r="P4" s="33"/>
      <c r="Q4" s="33"/>
      <c r="R4" s="33"/>
      <c r="S4" s="33"/>
      <c r="T4" s="646"/>
      <c r="U4" s="646"/>
      <c r="V4" s="646"/>
      <c r="W4" s="646"/>
      <c r="X4" s="646"/>
      <c r="Y4" s="646"/>
      <c r="Z4" s="646"/>
      <c r="AA4" s="646"/>
      <c r="AB4" s="646"/>
      <c r="AC4" s="646" t="s">
        <v>36</v>
      </c>
      <c r="AD4" s="646"/>
      <c r="AE4" s="646"/>
      <c r="AF4" s="646"/>
      <c r="AG4" s="646"/>
      <c r="AH4" s="646"/>
      <c r="AI4" s="646"/>
      <c r="AJ4" s="646"/>
    </row>
    <row r="5" spans="2:36" ht="15.75" x14ac:dyDescent="0.25">
      <c r="B5" s="2"/>
      <c r="C5" s="2"/>
      <c r="D5" s="2"/>
    </row>
    <row r="6" spans="2:36" ht="16.5" thickBot="1" x14ac:dyDescent="0.3">
      <c r="B6" s="2"/>
      <c r="C6" s="2"/>
      <c r="D6" s="2"/>
    </row>
    <row r="7" spans="2:36" ht="75.75" customHeight="1" x14ac:dyDescent="0.25">
      <c r="B7" s="643" t="s">
        <v>20</v>
      </c>
      <c r="C7" s="643" t="s">
        <v>38</v>
      </c>
      <c r="D7" s="643" t="s">
        <v>39</v>
      </c>
      <c r="E7" s="652" t="s">
        <v>40</v>
      </c>
      <c r="F7" s="643" t="s">
        <v>37</v>
      </c>
      <c r="G7" s="652" t="s">
        <v>9</v>
      </c>
      <c r="H7" s="641" t="s">
        <v>0</v>
      </c>
      <c r="I7" s="641" t="s">
        <v>8</v>
      </c>
      <c r="J7" s="641" t="s">
        <v>16</v>
      </c>
      <c r="K7" s="641"/>
      <c r="L7" s="641" t="s">
        <v>13</v>
      </c>
      <c r="M7" s="641"/>
      <c r="N7" s="641"/>
      <c r="O7" s="641"/>
      <c r="P7" s="641"/>
      <c r="Q7" s="641"/>
      <c r="R7" s="641"/>
      <c r="S7" s="641"/>
      <c r="T7" s="643" t="s">
        <v>14</v>
      </c>
      <c r="U7" s="641" t="s">
        <v>18</v>
      </c>
      <c r="V7" s="641" t="s">
        <v>26</v>
      </c>
      <c r="W7" s="641"/>
      <c r="X7" s="641" t="s">
        <v>15</v>
      </c>
      <c r="Y7" s="641" t="s">
        <v>17</v>
      </c>
      <c r="Z7" s="641"/>
      <c r="AA7" s="641" t="s">
        <v>22</v>
      </c>
      <c r="AB7" s="641" t="s">
        <v>32</v>
      </c>
      <c r="AC7" s="647" t="s">
        <v>31</v>
      </c>
      <c r="AD7" s="647"/>
      <c r="AE7" s="647"/>
      <c r="AF7" s="647"/>
      <c r="AG7" s="641" t="s">
        <v>28</v>
      </c>
      <c r="AH7" s="641" t="s">
        <v>29</v>
      </c>
      <c r="AI7" s="641" t="s">
        <v>1</v>
      </c>
      <c r="AJ7" s="641" t="s">
        <v>2</v>
      </c>
    </row>
    <row r="8" spans="2:36" ht="15.75" customHeight="1" x14ac:dyDescent="0.25">
      <c r="B8" s="644"/>
      <c r="C8" s="644"/>
      <c r="D8" s="644"/>
      <c r="E8" s="653"/>
      <c r="F8" s="644"/>
      <c r="G8" s="653"/>
      <c r="H8" s="642"/>
      <c r="I8" s="642"/>
      <c r="J8" s="642" t="s">
        <v>33</v>
      </c>
      <c r="K8" s="642" t="s">
        <v>19</v>
      </c>
      <c r="L8" s="645" t="s">
        <v>3</v>
      </c>
      <c r="M8" s="645"/>
      <c r="N8" s="645" t="s">
        <v>4</v>
      </c>
      <c r="O8" s="645"/>
      <c r="P8" s="645" t="s">
        <v>5</v>
      </c>
      <c r="Q8" s="645"/>
      <c r="R8" s="645" t="s">
        <v>6</v>
      </c>
      <c r="S8" s="645"/>
      <c r="T8" s="644"/>
      <c r="U8" s="642"/>
      <c r="V8" s="642" t="s">
        <v>23</v>
      </c>
      <c r="W8" s="642" t="s">
        <v>21</v>
      </c>
      <c r="X8" s="642"/>
      <c r="Y8" s="642" t="s">
        <v>23</v>
      </c>
      <c r="Z8" s="642" t="s">
        <v>21</v>
      </c>
      <c r="AA8" s="642"/>
      <c r="AB8" s="642"/>
      <c r="AC8" s="14" t="s">
        <v>3</v>
      </c>
      <c r="AD8" s="14" t="s">
        <v>4</v>
      </c>
      <c r="AE8" s="14" t="s">
        <v>5</v>
      </c>
      <c r="AF8" s="14" t="s">
        <v>6</v>
      </c>
      <c r="AG8" s="642"/>
      <c r="AH8" s="642"/>
      <c r="AI8" s="642"/>
      <c r="AJ8" s="642"/>
    </row>
    <row r="9" spans="2:36" ht="78.75" x14ac:dyDescent="0.25">
      <c r="B9" s="644"/>
      <c r="C9" s="644"/>
      <c r="D9" s="644"/>
      <c r="E9" s="653"/>
      <c r="F9" s="644"/>
      <c r="G9" s="653"/>
      <c r="H9" s="642"/>
      <c r="I9" s="642"/>
      <c r="J9" s="642"/>
      <c r="K9" s="642"/>
      <c r="L9" s="32" t="s">
        <v>11</v>
      </c>
      <c r="M9" s="32" t="s">
        <v>12</v>
      </c>
      <c r="N9" s="32" t="s">
        <v>11</v>
      </c>
      <c r="O9" s="32" t="s">
        <v>12</v>
      </c>
      <c r="P9" s="32" t="s">
        <v>11</v>
      </c>
      <c r="Q9" s="32" t="s">
        <v>12</v>
      </c>
      <c r="R9" s="32" t="s">
        <v>11</v>
      </c>
      <c r="S9" s="32" t="s">
        <v>12</v>
      </c>
      <c r="T9" s="644"/>
      <c r="U9" s="642"/>
      <c r="V9" s="642"/>
      <c r="W9" s="642"/>
      <c r="X9" s="642"/>
      <c r="Y9" s="642"/>
      <c r="Z9" s="642"/>
      <c r="AA9" s="642"/>
      <c r="AB9" s="642"/>
      <c r="AC9" s="14" t="s">
        <v>24</v>
      </c>
      <c r="AD9" s="14" t="s">
        <v>24</v>
      </c>
      <c r="AE9" s="14" t="s">
        <v>24</v>
      </c>
      <c r="AF9" s="14" t="s">
        <v>24</v>
      </c>
      <c r="AG9" s="642"/>
      <c r="AH9" s="642"/>
      <c r="AI9" s="642"/>
      <c r="AJ9" s="642"/>
    </row>
    <row r="10" spans="2:36" ht="136.5" customHeight="1" x14ac:dyDescent="0.25">
      <c r="B10" s="39"/>
      <c r="C10" s="39"/>
      <c r="D10" s="39"/>
      <c r="E10" s="40"/>
      <c r="F10" s="41" t="s">
        <v>89</v>
      </c>
      <c r="G10" s="40" t="s">
        <v>98</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91</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92</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92</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92</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93</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93</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93</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94</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95</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95</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50" t="s">
        <v>10</v>
      </c>
      <c r="K31" s="651"/>
      <c r="L31" s="648"/>
      <c r="M31" s="649"/>
      <c r="N31" s="648"/>
      <c r="O31" s="649"/>
      <c r="P31" s="648"/>
      <c r="Q31" s="649"/>
      <c r="R31" s="648"/>
      <c r="S31" s="649"/>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10" zoomScale="86" zoomScaleNormal="86" zoomScaleSheetLayoutView="80" workbookViewId="0">
      <selection activeCell="D34" sqref="D34"/>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249</v>
      </c>
      <c r="B1" s="190" t="s">
        <v>250</v>
      </c>
      <c r="C1" s="181" t="s">
        <v>251</v>
      </c>
      <c r="D1" s="181" t="s">
        <v>494</v>
      </c>
      <c r="E1" s="181" t="s">
        <v>496</v>
      </c>
      <c r="F1" s="181" t="s">
        <v>498</v>
      </c>
      <c r="G1" s="181" t="s">
        <v>500</v>
      </c>
      <c r="H1" s="181" t="s">
        <v>502</v>
      </c>
      <c r="I1" s="181" t="s">
        <v>504</v>
      </c>
      <c r="J1" s="181" t="s">
        <v>252</v>
      </c>
      <c r="K1" s="181" t="s">
        <v>507</v>
      </c>
      <c r="L1" s="181" t="s">
        <v>253</v>
      </c>
      <c r="M1" s="181" t="s">
        <v>509</v>
      </c>
      <c r="N1" s="181" t="s">
        <v>511</v>
      </c>
      <c r="O1" s="181" t="s">
        <v>513</v>
      </c>
      <c r="P1" s="181" t="s">
        <v>254</v>
      </c>
      <c r="Q1" s="181" t="s">
        <v>514</v>
      </c>
      <c r="R1" s="181" t="s">
        <v>517</v>
      </c>
      <c r="S1" s="181" t="s">
        <v>255</v>
      </c>
      <c r="T1" s="181" t="s">
        <v>519</v>
      </c>
      <c r="U1" s="181" t="s">
        <v>256</v>
      </c>
      <c r="V1" s="181" t="s">
        <v>520</v>
      </c>
      <c r="W1" s="181" t="s">
        <v>521</v>
      </c>
      <c r="X1" s="181" t="s">
        <v>525</v>
      </c>
      <c r="Y1" s="181" t="s">
        <v>272</v>
      </c>
      <c r="Z1" s="181" t="s">
        <v>526</v>
      </c>
      <c r="AA1" s="181" t="s">
        <v>528</v>
      </c>
      <c r="AB1" s="181" t="s">
        <v>530</v>
      </c>
      <c r="AC1" s="181" t="s">
        <v>273</v>
      </c>
      <c r="AD1" s="181" t="s">
        <v>532</v>
      </c>
      <c r="AE1" s="181" t="s">
        <v>534</v>
      </c>
      <c r="AF1" s="181" t="s">
        <v>536</v>
      </c>
      <c r="AG1" s="181" t="s">
        <v>538</v>
      </c>
      <c r="AH1" s="181" t="s">
        <v>248</v>
      </c>
      <c r="AI1" s="181" t="s">
        <v>540</v>
      </c>
      <c r="AJ1" s="190" t="s">
        <v>257</v>
      </c>
      <c r="AK1" s="181" t="s">
        <v>542</v>
      </c>
      <c r="AL1" s="181" t="s">
        <v>258</v>
      </c>
      <c r="AM1" s="181" t="s">
        <v>544</v>
      </c>
      <c r="AN1" s="181" t="s">
        <v>546</v>
      </c>
      <c r="AO1" s="181" t="s">
        <v>259</v>
      </c>
      <c r="AP1" s="181" t="s">
        <v>548</v>
      </c>
      <c r="AQ1" s="181" t="s">
        <v>550</v>
      </c>
      <c r="AR1" s="181" t="s">
        <v>260</v>
      </c>
      <c r="AS1" s="181" t="s">
        <v>551</v>
      </c>
      <c r="AT1" s="181" t="s">
        <v>553</v>
      </c>
      <c r="AU1" s="181" t="s">
        <v>554</v>
      </c>
      <c r="AV1" s="181" t="s">
        <v>555</v>
      </c>
      <c r="AW1" s="181" t="s">
        <v>557</v>
      </c>
      <c r="AX1" s="181" t="s">
        <v>559</v>
      </c>
      <c r="AY1" s="181" t="s">
        <v>560</v>
      </c>
      <c r="AZ1" s="181" t="s">
        <v>261</v>
      </c>
      <c r="BA1" s="181" t="s">
        <v>562</v>
      </c>
      <c r="BB1" s="181" t="s">
        <v>564</v>
      </c>
      <c r="BC1" s="181" t="s">
        <v>566</v>
      </c>
      <c r="BD1" s="181" t="s">
        <v>568</v>
      </c>
      <c r="BE1" s="181" t="s">
        <v>570</v>
      </c>
      <c r="BF1" s="181" t="s">
        <v>572</v>
      </c>
      <c r="BG1" s="181" t="s">
        <v>574</v>
      </c>
      <c r="BH1" s="181" t="s">
        <v>576</v>
      </c>
      <c r="BI1" s="181" t="s">
        <v>274</v>
      </c>
      <c r="BJ1" s="181" t="s">
        <v>578</v>
      </c>
      <c r="BK1" s="181" t="s">
        <v>580</v>
      </c>
      <c r="BL1" s="181" t="s">
        <v>582</v>
      </c>
      <c r="BM1" s="181" t="s">
        <v>584</v>
      </c>
      <c r="BN1" s="181" t="s">
        <v>586</v>
      </c>
      <c r="BO1" s="181" t="s">
        <v>588</v>
      </c>
      <c r="BP1" s="181" t="s">
        <v>590</v>
      </c>
      <c r="BQ1" s="181" t="s">
        <v>592</v>
      </c>
      <c r="BR1" s="181" t="s">
        <v>594</v>
      </c>
      <c r="BS1" s="181" t="s">
        <v>596</v>
      </c>
      <c r="BT1" s="190" t="s">
        <v>262</v>
      </c>
      <c r="BU1" s="181" t="s">
        <v>263</v>
      </c>
      <c r="BV1" s="181" t="s">
        <v>598</v>
      </c>
      <c r="BW1" s="181" t="s">
        <v>264</v>
      </c>
      <c r="BX1" s="181" t="s">
        <v>600</v>
      </c>
      <c r="BY1" s="181" t="s">
        <v>602</v>
      </c>
      <c r="BZ1" s="190" t="s">
        <v>265</v>
      </c>
      <c r="CA1" s="181" t="s">
        <v>266</v>
      </c>
      <c r="CB1" s="181" t="s">
        <v>604</v>
      </c>
      <c r="CC1" s="181" t="s">
        <v>267</v>
      </c>
      <c r="CD1" s="181" t="s">
        <v>606</v>
      </c>
      <c r="CE1" s="181" t="s">
        <v>608</v>
      </c>
      <c r="CF1" s="181" t="s">
        <v>610</v>
      </c>
      <c r="CG1" s="190" t="s">
        <v>268</v>
      </c>
      <c r="CH1" s="181" t="s">
        <v>616</v>
      </c>
      <c r="CI1" s="181" t="s">
        <v>618</v>
      </c>
      <c r="CJ1" s="181" t="s">
        <v>269</v>
      </c>
      <c r="CK1" s="181" t="s">
        <v>612</v>
      </c>
      <c r="CL1" s="181" t="s">
        <v>614</v>
      </c>
      <c r="CM1" s="181" t="s">
        <v>270</v>
      </c>
      <c r="CN1" s="181" t="s">
        <v>620</v>
      </c>
      <c r="CO1" s="181" t="s">
        <v>271</v>
      </c>
      <c r="CP1" s="181" t="s">
        <v>621</v>
      </c>
      <c r="CQ1" s="178" t="s">
        <v>275</v>
      </c>
      <c r="CR1" s="190" t="s">
        <v>276</v>
      </c>
      <c r="CS1" s="181" t="s">
        <v>622</v>
      </c>
      <c r="CT1" s="181" t="s">
        <v>623</v>
      </c>
      <c r="CU1" s="181" t="s">
        <v>625</v>
      </c>
      <c r="CV1" s="181" t="s">
        <v>277</v>
      </c>
      <c r="CW1" s="181" t="s">
        <v>627</v>
      </c>
      <c r="CX1" s="181" t="s">
        <v>629</v>
      </c>
      <c r="CY1" s="181" t="s">
        <v>631</v>
      </c>
      <c r="CZ1" s="181" t="s">
        <v>633</v>
      </c>
      <c r="DA1" s="181" t="s">
        <v>635</v>
      </c>
      <c r="DB1" s="181" t="s">
        <v>637</v>
      </c>
      <c r="DC1" s="190" t="s">
        <v>278</v>
      </c>
      <c r="DD1" s="181" t="s">
        <v>279</v>
      </c>
      <c r="DE1" s="181" t="s">
        <v>639</v>
      </c>
      <c r="DF1" s="181" t="s">
        <v>280</v>
      </c>
      <c r="DG1" s="181" t="s">
        <v>641</v>
      </c>
      <c r="DH1" s="181" t="s">
        <v>643</v>
      </c>
      <c r="DI1" s="181" t="s">
        <v>645</v>
      </c>
      <c r="DJ1" s="181" t="s">
        <v>647</v>
      </c>
      <c r="DK1" s="181" t="s">
        <v>649</v>
      </c>
      <c r="DL1" s="181" t="s">
        <v>651</v>
      </c>
      <c r="DM1" s="181" t="s">
        <v>653</v>
      </c>
      <c r="DN1" s="181" t="s">
        <v>281</v>
      </c>
      <c r="DO1" s="181" t="s">
        <v>655</v>
      </c>
      <c r="DP1" s="181" t="s">
        <v>657</v>
      </c>
      <c r="DQ1" s="181" t="s">
        <v>659</v>
      </c>
      <c r="DR1" s="190" t="s">
        <v>282</v>
      </c>
      <c r="DS1" s="181" t="s">
        <v>661</v>
      </c>
      <c r="DT1" s="181" t="s">
        <v>283</v>
      </c>
      <c r="DU1" s="181" t="s">
        <v>663</v>
      </c>
      <c r="DV1" s="181" t="s">
        <v>284</v>
      </c>
      <c r="DW1" s="181" t="s">
        <v>665</v>
      </c>
      <c r="DX1" s="181" t="s">
        <v>667</v>
      </c>
      <c r="DY1" s="181" t="s">
        <v>669</v>
      </c>
      <c r="DZ1" s="181" t="s">
        <v>671</v>
      </c>
      <c r="EA1" s="181" t="s">
        <v>673</v>
      </c>
      <c r="EB1" s="181" t="s">
        <v>675</v>
      </c>
      <c r="EC1" s="181" t="s">
        <v>677</v>
      </c>
      <c r="ED1" s="181" t="s">
        <v>679</v>
      </c>
      <c r="EE1" s="181" t="s">
        <v>681</v>
      </c>
      <c r="EF1" s="181" t="s">
        <v>683</v>
      </c>
      <c r="EG1" s="181" t="s">
        <v>685</v>
      </c>
      <c r="EH1" s="190" t="s">
        <v>285</v>
      </c>
      <c r="EI1" s="181" t="s">
        <v>687</v>
      </c>
      <c r="EJ1" s="181" t="s">
        <v>286</v>
      </c>
      <c r="EK1" s="181" t="s">
        <v>689</v>
      </c>
      <c r="EL1" s="181" t="s">
        <v>691</v>
      </c>
      <c r="EM1" s="181" t="s">
        <v>287</v>
      </c>
      <c r="EN1" s="181" t="s">
        <v>693</v>
      </c>
      <c r="EO1" s="181" t="s">
        <v>695</v>
      </c>
      <c r="EP1" s="181" t="s">
        <v>288</v>
      </c>
      <c r="EQ1" s="181" t="s">
        <v>697</v>
      </c>
      <c r="ER1" s="181" t="s">
        <v>699</v>
      </c>
      <c r="ES1" s="181" t="s">
        <v>701</v>
      </c>
      <c r="ET1" s="181" t="s">
        <v>289</v>
      </c>
      <c r="EU1" s="181" t="s">
        <v>703</v>
      </c>
      <c r="EV1" s="181" t="s">
        <v>705</v>
      </c>
      <c r="EW1" s="190" t="s">
        <v>290</v>
      </c>
      <c r="EX1" s="181" t="s">
        <v>291</v>
      </c>
      <c r="EY1" s="181" t="s">
        <v>707</v>
      </c>
      <c r="EZ1" s="181" t="s">
        <v>709</v>
      </c>
      <c r="FA1" s="181" t="s">
        <v>711</v>
      </c>
      <c r="FB1" s="181" t="s">
        <v>713</v>
      </c>
      <c r="FC1" s="181" t="s">
        <v>292</v>
      </c>
      <c r="FD1" s="181" t="s">
        <v>715</v>
      </c>
      <c r="FE1" s="181" t="s">
        <v>717</v>
      </c>
      <c r="FF1" s="181" t="s">
        <v>719</v>
      </c>
      <c r="FG1" s="181" t="s">
        <v>721</v>
      </c>
      <c r="FH1" s="181" t="s">
        <v>723</v>
      </c>
      <c r="FI1" s="181" t="s">
        <v>293</v>
      </c>
      <c r="FJ1" s="181" t="s">
        <v>726</v>
      </c>
      <c r="FK1" s="181" t="s">
        <v>294</v>
      </c>
      <c r="FL1" s="181" t="s">
        <v>729</v>
      </c>
      <c r="FM1" s="181" t="s">
        <v>730</v>
      </c>
      <c r="FN1" s="181" t="s">
        <v>732</v>
      </c>
      <c r="FO1" s="181" t="s">
        <v>295</v>
      </c>
      <c r="FP1" s="181" t="s">
        <v>735</v>
      </c>
      <c r="FQ1" s="181" t="s">
        <v>736</v>
      </c>
      <c r="FR1" s="181" t="s">
        <v>738</v>
      </c>
      <c r="FS1" s="181" t="s">
        <v>296</v>
      </c>
      <c r="FT1" s="181" t="s">
        <v>741</v>
      </c>
      <c r="FU1" s="181" t="s">
        <v>743</v>
      </c>
      <c r="FV1" s="181" t="s">
        <v>745</v>
      </c>
      <c r="FW1" s="190" t="s">
        <v>297</v>
      </c>
      <c r="FX1" s="190" t="s">
        <v>298</v>
      </c>
      <c r="FY1" s="181" t="s">
        <v>304</v>
      </c>
      <c r="FZ1" s="181" t="s">
        <v>747</v>
      </c>
      <c r="GA1" s="181" t="s">
        <v>749</v>
      </c>
      <c r="GB1" s="181" t="s">
        <v>751</v>
      </c>
      <c r="GC1" s="181" t="s">
        <v>753</v>
      </c>
      <c r="GD1" s="181" t="s">
        <v>755</v>
      </c>
      <c r="GE1" s="181" t="s">
        <v>757</v>
      </c>
      <c r="GF1" s="190" t="s">
        <v>299</v>
      </c>
      <c r="GG1" s="181" t="s">
        <v>305</v>
      </c>
      <c r="GH1" s="181" t="s">
        <v>759</v>
      </c>
      <c r="GI1" s="181" t="s">
        <v>761</v>
      </c>
      <c r="GJ1" s="181" t="s">
        <v>762</v>
      </c>
      <c r="GK1" s="181" t="s">
        <v>306</v>
      </c>
      <c r="GL1" s="181" t="s">
        <v>765</v>
      </c>
      <c r="GM1" s="181" t="s">
        <v>766</v>
      </c>
      <c r="GN1" s="190" t="s">
        <v>300</v>
      </c>
      <c r="GO1" s="181" t="s">
        <v>301</v>
      </c>
      <c r="GP1" s="181" t="s">
        <v>768</v>
      </c>
      <c r="GQ1" s="181" t="s">
        <v>770</v>
      </c>
      <c r="GR1" s="181" t="s">
        <v>772</v>
      </c>
      <c r="GS1" s="181" t="s">
        <v>774</v>
      </c>
      <c r="GT1" s="181" t="s">
        <v>776</v>
      </c>
      <c r="GU1" s="190" t="s">
        <v>302</v>
      </c>
      <c r="GV1" s="181" t="s">
        <v>303</v>
      </c>
      <c r="GW1" s="181" t="s">
        <v>778</v>
      </c>
      <c r="GX1" s="181" t="s">
        <v>780</v>
      </c>
      <c r="GY1" s="181" t="s">
        <v>782</v>
      </c>
      <c r="GZ1" s="181" t="s">
        <v>784</v>
      </c>
      <c r="HA1" s="181" t="s">
        <v>786</v>
      </c>
      <c r="HB1" s="181" t="s">
        <v>788</v>
      </c>
      <c r="HC1" s="178" t="s">
        <v>307</v>
      </c>
      <c r="HD1" s="190" t="s">
        <v>308</v>
      </c>
      <c r="HE1" s="181" t="s">
        <v>309</v>
      </c>
      <c r="HF1" s="181" t="s">
        <v>790</v>
      </c>
      <c r="HG1" s="181" t="s">
        <v>792</v>
      </c>
      <c r="HH1" s="181" t="s">
        <v>794</v>
      </c>
      <c r="HI1" s="181" t="s">
        <v>796</v>
      </c>
      <c r="HJ1" s="181" t="s">
        <v>310</v>
      </c>
      <c r="HK1" s="181" t="s">
        <v>799</v>
      </c>
      <c r="HL1" s="181" t="s">
        <v>327</v>
      </c>
      <c r="HM1" s="181" t="s">
        <v>837</v>
      </c>
      <c r="HN1" s="181" t="s">
        <v>839</v>
      </c>
      <c r="HO1" s="181" t="s">
        <v>841</v>
      </c>
      <c r="HP1" s="190" t="s">
        <v>311</v>
      </c>
      <c r="HQ1" s="181" t="s">
        <v>801</v>
      </c>
      <c r="HR1" s="181" t="s">
        <v>803</v>
      </c>
      <c r="HS1" s="181" t="s">
        <v>312</v>
      </c>
      <c r="HT1" s="181" t="s">
        <v>806</v>
      </c>
      <c r="HU1" s="181" t="s">
        <v>808</v>
      </c>
      <c r="HV1" s="181" t="s">
        <v>809</v>
      </c>
      <c r="HW1" s="181" t="s">
        <v>811</v>
      </c>
      <c r="HX1" s="190" t="s">
        <v>313</v>
      </c>
      <c r="HY1" s="181" t="s">
        <v>813</v>
      </c>
      <c r="HZ1" s="181" t="s">
        <v>815</v>
      </c>
      <c r="IA1" s="181" t="s">
        <v>817</v>
      </c>
      <c r="IB1" s="181" t="s">
        <v>314</v>
      </c>
      <c r="IC1" s="181" t="s">
        <v>819</v>
      </c>
      <c r="ID1" s="181" t="s">
        <v>821</v>
      </c>
      <c r="IE1" s="181" t="s">
        <v>315</v>
      </c>
      <c r="IF1" s="181" t="s">
        <v>823</v>
      </c>
      <c r="IG1" s="181" t="s">
        <v>825</v>
      </c>
      <c r="IH1" s="181" t="s">
        <v>316</v>
      </c>
      <c r="II1" s="181" t="s">
        <v>827</v>
      </c>
      <c r="IJ1" s="181" t="s">
        <v>829</v>
      </c>
      <c r="IK1" s="181" t="s">
        <v>831</v>
      </c>
      <c r="IL1" s="181" t="s">
        <v>833</v>
      </c>
      <c r="IM1" s="181" t="s">
        <v>317</v>
      </c>
      <c r="IN1" s="181" t="s">
        <v>835</v>
      </c>
      <c r="IO1" s="190" t="s">
        <v>318</v>
      </c>
      <c r="IP1" s="181" t="s">
        <v>843</v>
      </c>
      <c r="IQ1" s="181" t="s">
        <v>845</v>
      </c>
      <c r="IR1" s="181" t="s">
        <v>319</v>
      </c>
      <c r="IS1" s="181" t="s">
        <v>847</v>
      </c>
      <c r="IT1" s="181" t="s">
        <v>849</v>
      </c>
      <c r="IU1" s="181" t="s">
        <v>851</v>
      </c>
      <c r="IV1" s="190" t="s">
        <v>320</v>
      </c>
      <c r="IW1" s="181" t="s">
        <v>853</v>
      </c>
      <c r="IX1" s="181" t="s">
        <v>321</v>
      </c>
      <c r="IY1" s="181" t="s">
        <v>856</v>
      </c>
      <c r="IZ1" s="181" t="s">
        <v>858</v>
      </c>
      <c r="JA1" s="181" t="s">
        <v>860</v>
      </c>
      <c r="JB1" s="181" t="s">
        <v>862</v>
      </c>
      <c r="JC1" s="181" t="s">
        <v>864</v>
      </c>
      <c r="JD1" s="181" t="s">
        <v>866</v>
      </c>
      <c r="JE1" s="181" t="s">
        <v>322</v>
      </c>
      <c r="JF1" s="181" t="s">
        <v>869</v>
      </c>
      <c r="JG1" s="181" t="s">
        <v>871</v>
      </c>
      <c r="JH1" s="181" t="s">
        <v>873</v>
      </c>
      <c r="JI1" s="181" t="s">
        <v>875</v>
      </c>
      <c r="JJ1" s="181" t="s">
        <v>877</v>
      </c>
      <c r="JK1" s="181" t="s">
        <v>879</v>
      </c>
      <c r="JL1" s="181" t="s">
        <v>881</v>
      </c>
      <c r="JM1" s="181" t="s">
        <v>883</v>
      </c>
      <c r="JN1" s="181" t="s">
        <v>323</v>
      </c>
      <c r="JO1" s="181" t="s">
        <v>886</v>
      </c>
      <c r="JP1" s="181" t="s">
        <v>888</v>
      </c>
      <c r="JQ1" s="181" t="s">
        <v>890</v>
      </c>
      <c r="JR1" s="181" t="s">
        <v>892</v>
      </c>
      <c r="JS1" s="181" t="s">
        <v>893</v>
      </c>
      <c r="JT1" s="181" t="s">
        <v>895</v>
      </c>
      <c r="JU1" s="181" t="s">
        <v>897</v>
      </c>
      <c r="JV1" s="181" t="s">
        <v>899</v>
      </c>
      <c r="JW1" s="181" t="s">
        <v>901</v>
      </c>
      <c r="JX1" s="181" t="s">
        <v>903</v>
      </c>
      <c r="JY1" s="181" t="s">
        <v>905</v>
      </c>
      <c r="JZ1" s="181" t="s">
        <v>907</v>
      </c>
      <c r="KA1" s="181" t="s">
        <v>909</v>
      </c>
      <c r="KB1" s="181" t="s">
        <v>911</v>
      </c>
      <c r="KC1" s="181" t="s">
        <v>913</v>
      </c>
      <c r="KD1" s="181" t="s">
        <v>915</v>
      </c>
      <c r="KE1" s="181" t="s">
        <v>917</v>
      </c>
      <c r="KF1" s="181" t="s">
        <v>919</v>
      </c>
      <c r="KG1" s="181" t="s">
        <v>921</v>
      </c>
      <c r="KH1" s="181" t="s">
        <v>923</v>
      </c>
      <c r="KI1" s="181" t="s">
        <v>925</v>
      </c>
      <c r="KJ1" s="181" t="s">
        <v>927</v>
      </c>
      <c r="KK1" s="181" t="s">
        <v>929</v>
      </c>
      <c r="KL1" s="181" t="s">
        <v>931</v>
      </c>
      <c r="KM1" s="181" t="s">
        <v>933</v>
      </c>
      <c r="KN1" s="181" t="s">
        <v>935</v>
      </c>
      <c r="KO1" s="190" t="s">
        <v>324</v>
      </c>
      <c r="KP1" s="181" t="s">
        <v>937</v>
      </c>
      <c r="KQ1" s="181" t="s">
        <v>325</v>
      </c>
      <c r="KR1" s="181" t="s">
        <v>940</v>
      </c>
      <c r="KS1" s="181" t="s">
        <v>942</v>
      </c>
      <c r="KT1" s="181" t="s">
        <v>944</v>
      </c>
      <c r="KU1" s="181" t="s">
        <v>946</v>
      </c>
      <c r="KV1" s="181" t="s">
        <v>326</v>
      </c>
      <c r="KW1" s="181" t="s">
        <v>949</v>
      </c>
      <c r="KX1" s="181" t="s">
        <v>951</v>
      </c>
      <c r="KY1" s="181" t="s">
        <v>953</v>
      </c>
      <c r="KZ1" s="181" t="s">
        <v>955</v>
      </c>
      <c r="LA1" s="181" t="s">
        <v>957</v>
      </c>
      <c r="LB1" s="181" t="s">
        <v>959</v>
      </c>
      <c r="LC1" s="181" t="s">
        <v>961</v>
      </c>
      <c r="LD1" s="178" t="s">
        <v>328</v>
      </c>
      <c r="LE1" s="190" t="s">
        <v>329</v>
      </c>
      <c r="LF1" s="181" t="s">
        <v>330</v>
      </c>
      <c r="LG1" s="181" t="s">
        <v>344</v>
      </c>
      <c r="LH1" s="181" t="s">
        <v>963</v>
      </c>
      <c r="LI1" s="181" t="s">
        <v>965</v>
      </c>
      <c r="LJ1" s="181" t="s">
        <v>967</v>
      </c>
      <c r="LK1" s="181" t="s">
        <v>969</v>
      </c>
      <c r="LL1" s="181" t="s">
        <v>345</v>
      </c>
      <c r="LM1" s="181" t="s">
        <v>971</v>
      </c>
      <c r="LN1" s="181" t="s">
        <v>346</v>
      </c>
      <c r="LO1" s="181" t="s">
        <v>973</v>
      </c>
      <c r="LP1" s="181" t="s">
        <v>331</v>
      </c>
      <c r="LQ1" s="181" t="s">
        <v>975</v>
      </c>
      <c r="LR1" s="181" t="s">
        <v>347</v>
      </c>
      <c r="LS1" s="181" t="s">
        <v>977</v>
      </c>
      <c r="LT1" s="181" t="s">
        <v>979</v>
      </c>
      <c r="LU1" s="181" t="s">
        <v>348</v>
      </c>
      <c r="LV1" s="190" t="s">
        <v>332</v>
      </c>
      <c r="LW1" s="181" t="s">
        <v>333</v>
      </c>
      <c r="LX1" s="181" t="s">
        <v>981</v>
      </c>
      <c r="LY1" s="181" t="s">
        <v>983</v>
      </c>
      <c r="LZ1" s="181" t="s">
        <v>984</v>
      </c>
      <c r="MA1" s="181" t="s">
        <v>986</v>
      </c>
      <c r="MB1" s="181" t="s">
        <v>987</v>
      </c>
      <c r="MC1" s="181" t="s">
        <v>989</v>
      </c>
      <c r="MD1" s="181" t="s">
        <v>991</v>
      </c>
      <c r="ME1" s="181" t="s">
        <v>993</v>
      </c>
      <c r="MF1" s="181" t="s">
        <v>995</v>
      </c>
      <c r="MG1" s="181" t="s">
        <v>334</v>
      </c>
      <c r="MH1" s="181" t="s">
        <v>998</v>
      </c>
      <c r="MI1" s="181" t="s">
        <v>999</v>
      </c>
      <c r="MJ1" s="181" t="s">
        <v>1001</v>
      </c>
      <c r="MK1" s="181" t="s">
        <v>335</v>
      </c>
      <c r="ML1" s="181" t="s">
        <v>1004</v>
      </c>
      <c r="MM1" s="181" t="s">
        <v>1005</v>
      </c>
      <c r="MN1" s="181" t="s">
        <v>1007</v>
      </c>
      <c r="MO1" s="181" t="s">
        <v>1009</v>
      </c>
      <c r="MP1" s="181" t="s">
        <v>336</v>
      </c>
      <c r="MQ1" s="181" t="s">
        <v>1012</v>
      </c>
      <c r="MR1" s="181" t="s">
        <v>1014</v>
      </c>
      <c r="MS1" s="181" t="s">
        <v>1016</v>
      </c>
      <c r="MT1" s="181" t="s">
        <v>1018</v>
      </c>
      <c r="MU1" s="181" t="s">
        <v>337</v>
      </c>
      <c r="MV1" s="181" t="s">
        <v>1021</v>
      </c>
      <c r="MW1" s="181" t="s">
        <v>1023</v>
      </c>
      <c r="MX1" s="181" t="s">
        <v>1025</v>
      </c>
      <c r="MY1" s="181" t="s">
        <v>1027</v>
      </c>
      <c r="MZ1" s="181" t="s">
        <v>1029</v>
      </c>
      <c r="NA1" s="181" t="s">
        <v>1031</v>
      </c>
      <c r="NB1" s="181" t="s">
        <v>1033</v>
      </c>
      <c r="NC1" s="181" t="s">
        <v>1035</v>
      </c>
      <c r="ND1" s="181" t="s">
        <v>1037</v>
      </c>
      <c r="NE1" s="181" t="s">
        <v>1039</v>
      </c>
      <c r="NF1" s="181" t="s">
        <v>1041</v>
      </c>
      <c r="NG1" s="181" t="s">
        <v>1042</v>
      </c>
      <c r="NH1" s="190" t="s">
        <v>338</v>
      </c>
      <c r="NI1" s="181" t="s">
        <v>339</v>
      </c>
      <c r="NJ1" s="181" t="s">
        <v>1044</v>
      </c>
      <c r="NK1" s="181" t="s">
        <v>1046</v>
      </c>
      <c r="NL1" s="181" t="s">
        <v>1048</v>
      </c>
      <c r="NM1" s="181" t="s">
        <v>1050</v>
      </c>
      <c r="NN1" s="190" t="s">
        <v>340</v>
      </c>
      <c r="NO1" s="181" t="s">
        <v>341</v>
      </c>
      <c r="NP1" s="181" t="s">
        <v>1051</v>
      </c>
      <c r="NQ1" s="181" t="s">
        <v>342</v>
      </c>
      <c r="NR1" s="181" t="s">
        <v>1053</v>
      </c>
      <c r="NS1" s="181" t="s">
        <v>1055</v>
      </c>
      <c r="NT1" s="181" t="s">
        <v>343</v>
      </c>
      <c r="NU1" s="181" t="s">
        <v>1057</v>
      </c>
      <c r="NV1" s="178" t="s">
        <v>349</v>
      </c>
      <c r="NW1" s="190" t="s">
        <v>350</v>
      </c>
      <c r="NX1" s="181" t="s">
        <v>351</v>
      </c>
      <c r="NY1" s="181" t="s">
        <v>1060</v>
      </c>
      <c r="NZ1" s="181" t="s">
        <v>1062</v>
      </c>
      <c r="OA1" s="181" t="s">
        <v>352</v>
      </c>
      <c r="OB1" s="181" t="s">
        <v>362</v>
      </c>
      <c r="OC1" s="181" t="s">
        <v>1064</v>
      </c>
      <c r="OD1" s="181" t="s">
        <v>1066</v>
      </c>
      <c r="OE1" s="181" t="s">
        <v>1068</v>
      </c>
      <c r="OF1" s="181" t="s">
        <v>1070</v>
      </c>
      <c r="OG1" s="181" t="s">
        <v>1072</v>
      </c>
      <c r="OH1" s="181" t="s">
        <v>1074</v>
      </c>
      <c r="OI1" s="181" t="s">
        <v>1076</v>
      </c>
      <c r="OJ1" s="181" t="s">
        <v>1078</v>
      </c>
      <c r="OK1" s="181" t="s">
        <v>1080</v>
      </c>
      <c r="OL1" s="181" t="s">
        <v>1082</v>
      </c>
      <c r="OM1" s="181" t="s">
        <v>1084</v>
      </c>
      <c r="ON1" s="181" t="s">
        <v>1086</v>
      </c>
      <c r="OO1" s="181" t="s">
        <v>1088</v>
      </c>
      <c r="OP1" s="181" t="s">
        <v>1090</v>
      </c>
      <c r="OQ1" s="181" t="s">
        <v>1092</v>
      </c>
      <c r="OR1" s="181" t="s">
        <v>1094</v>
      </c>
      <c r="OS1" s="181" t="s">
        <v>1096</v>
      </c>
      <c r="OT1" s="181" t="s">
        <v>1098</v>
      </c>
      <c r="OU1" s="181" t="s">
        <v>1100</v>
      </c>
      <c r="OV1" s="181" t="s">
        <v>1102</v>
      </c>
      <c r="OW1" s="181" t="s">
        <v>1104</v>
      </c>
      <c r="OX1" s="181" t="s">
        <v>1106</v>
      </c>
      <c r="OY1" s="181" t="s">
        <v>363</v>
      </c>
      <c r="OZ1" s="181" t="s">
        <v>1109</v>
      </c>
      <c r="PA1" s="181" t="s">
        <v>1111</v>
      </c>
      <c r="PB1" s="181" t="s">
        <v>1112</v>
      </c>
      <c r="PC1" s="181" t="s">
        <v>1114</v>
      </c>
      <c r="PD1" s="181" t="s">
        <v>1116</v>
      </c>
      <c r="PE1" s="181" t="s">
        <v>1118</v>
      </c>
      <c r="PF1" s="181" t="s">
        <v>1120</v>
      </c>
      <c r="PG1" s="181" t="s">
        <v>1122</v>
      </c>
      <c r="PH1" s="181" t="s">
        <v>1124</v>
      </c>
      <c r="PI1" s="181" t="s">
        <v>1126</v>
      </c>
      <c r="PJ1" s="181" t="s">
        <v>1128</v>
      </c>
      <c r="PK1" s="181" t="s">
        <v>1130</v>
      </c>
      <c r="PL1" s="181" t="s">
        <v>1132</v>
      </c>
      <c r="PM1" s="181" t="s">
        <v>1134</v>
      </c>
      <c r="PN1" s="181" t="s">
        <v>1136</v>
      </c>
      <c r="PO1" s="181" t="s">
        <v>1138</v>
      </c>
      <c r="PP1" s="181" t="s">
        <v>1140</v>
      </c>
      <c r="PQ1" s="181" t="s">
        <v>1142</v>
      </c>
      <c r="PR1" s="181" t="s">
        <v>1144</v>
      </c>
      <c r="PS1" s="181" t="s">
        <v>1146</v>
      </c>
      <c r="PT1" s="181" t="s">
        <v>1148</v>
      </c>
      <c r="PU1" s="181" t="s">
        <v>1150</v>
      </c>
      <c r="PV1" s="181" t="s">
        <v>1152</v>
      </c>
      <c r="PW1" s="181" t="s">
        <v>1154</v>
      </c>
      <c r="PX1" s="181" t="s">
        <v>1156</v>
      </c>
      <c r="PY1" s="181" t="s">
        <v>1158</v>
      </c>
      <c r="PZ1" s="181" t="s">
        <v>353</v>
      </c>
      <c r="QA1" s="181" t="s">
        <v>1160</v>
      </c>
      <c r="QB1" s="181" t="s">
        <v>1162</v>
      </c>
      <c r="QC1" s="181" t="s">
        <v>1164</v>
      </c>
      <c r="QD1" s="181" t="s">
        <v>1166</v>
      </c>
      <c r="QE1" s="181" t="s">
        <v>1168</v>
      </c>
      <c r="QF1" s="190" t="s">
        <v>354</v>
      </c>
      <c r="QG1" s="181" t="s">
        <v>355</v>
      </c>
      <c r="QH1" s="181" t="s">
        <v>1170</v>
      </c>
      <c r="QI1" s="181" t="s">
        <v>1172</v>
      </c>
      <c r="QJ1" s="181" t="s">
        <v>1174</v>
      </c>
      <c r="QK1" s="181" t="s">
        <v>1176</v>
      </c>
      <c r="QL1" s="181" t="s">
        <v>1178</v>
      </c>
      <c r="QM1" s="181" t="s">
        <v>1180</v>
      </c>
      <c r="QN1" s="190" t="s">
        <v>356</v>
      </c>
      <c r="QO1" s="181" t="s">
        <v>1182</v>
      </c>
      <c r="QP1" s="181" t="s">
        <v>357</v>
      </c>
      <c r="QQ1" s="181" t="s">
        <v>364</v>
      </c>
      <c r="QR1" s="181" t="s">
        <v>1184</v>
      </c>
      <c r="QS1" s="181" t="s">
        <v>1186</v>
      </c>
      <c r="QT1" s="181" t="s">
        <v>1188</v>
      </c>
      <c r="QU1" s="181" t="s">
        <v>1190</v>
      </c>
      <c r="QV1" s="181" t="s">
        <v>1192</v>
      </c>
      <c r="QW1" s="181" t="s">
        <v>1194</v>
      </c>
      <c r="QX1" s="181" t="s">
        <v>1196</v>
      </c>
      <c r="QY1" s="181" t="s">
        <v>1198</v>
      </c>
      <c r="QZ1" s="181" t="s">
        <v>1200</v>
      </c>
      <c r="RA1" s="181" t="s">
        <v>1202</v>
      </c>
      <c r="RB1" s="181" t="s">
        <v>1204</v>
      </c>
      <c r="RC1" s="181" t="s">
        <v>1206</v>
      </c>
      <c r="RD1" s="181" t="s">
        <v>1208</v>
      </c>
      <c r="RE1" s="181" t="s">
        <v>1210</v>
      </c>
      <c r="RF1" s="190" t="s">
        <v>358</v>
      </c>
      <c r="RG1" s="181" t="s">
        <v>359</v>
      </c>
      <c r="RH1" s="181" t="s">
        <v>1212</v>
      </c>
      <c r="RI1" s="181" t="s">
        <v>1214</v>
      </c>
      <c r="RJ1" s="190" t="s">
        <v>360</v>
      </c>
      <c r="RK1" s="181" t="s">
        <v>361</v>
      </c>
      <c r="RL1" s="181" t="s">
        <v>1216</v>
      </c>
      <c r="RM1" s="181" t="s">
        <v>1217</v>
      </c>
      <c r="RN1" s="181" t="s">
        <v>1218</v>
      </c>
      <c r="RO1" s="181" t="s">
        <v>1219</v>
      </c>
      <c r="RP1" s="181" t="s">
        <v>1221</v>
      </c>
      <c r="RQ1" s="181" t="s">
        <v>1222</v>
      </c>
      <c r="RR1" s="181" t="s">
        <v>1224</v>
      </c>
      <c r="RS1" s="181" t="s">
        <v>1225</v>
      </c>
      <c r="RT1" s="178" t="s">
        <v>365</v>
      </c>
      <c r="RU1" s="190" t="s">
        <v>366</v>
      </c>
      <c r="RV1" s="181" t="s">
        <v>367</v>
      </c>
      <c r="RW1" s="181" t="s">
        <v>1227</v>
      </c>
      <c r="RX1" s="181" t="s">
        <v>1229</v>
      </c>
      <c r="RY1" s="181" t="s">
        <v>368</v>
      </c>
      <c r="RZ1" s="181" t="s">
        <v>1231</v>
      </c>
      <c r="SA1" s="181" t="s">
        <v>1233</v>
      </c>
      <c r="SB1" s="181" t="s">
        <v>1235</v>
      </c>
      <c r="SC1" s="181" t="s">
        <v>1237</v>
      </c>
      <c r="SD1" s="190" t="s">
        <v>369</v>
      </c>
      <c r="SE1" s="181" t="s">
        <v>370</v>
      </c>
      <c r="SF1" s="181" t="s">
        <v>1239</v>
      </c>
      <c r="SG1" s="181" t="s">
        <v>1241</v>
      </c>
      <c r="SH1" s="181" t="s">
        <v>1243</v>
      </c>
      <c r="SI1" s="181" t="s">
        <v>1245</v>
      </c>
      <c r="SJ1" s="181" t="s">
        <v>1247</v>
      </c>
      <c r="SK1" s="181" t="s">
        <v>1249</v>
      </c>
      <c r="SL1" s="181" t="s">
        <v>1251</v>
      </c>
      <c r="SM1" s="181" t="s">
        <v>1253</v>
      </c>
      <c r="SN1" s="181" t="s">
        <v>1255</v>
      </c>
      <c r="SO1" s="181" t="s">
        <v>1257</v>
      </c>
      <c r="SP1" s="181" t="s">
        <v>1259</v>
      </c>
      <c r="SQ1" s="181" t="s">
        <v>1261</v>
      </c>
      <c r="SR1" s="181" t="s">
        <v>1263</v>
      </c>
      <c r="SS1" s="181" t="s">
        <v>1265</v>
      </c>
      <c r="ST1" s="181" t="s">
        <v>1267</v>
      </c>
      <c r="SU1" s="178" t="s">
        <v>371</v>
      </c>
      <c r="SV1" s="190" t="s">
        <v>372</v>
      </c>
      <c r="SW1" s="181" t="s">
        <v>373</v>
      </c>
      <c r="SX1" s="181" t="s">
        <v>1269</v>
      </c>
      <c r="SY1" s="181" t="s">
        <v>1271</v>
      </c>
      <c r="SZ1" s="181" t="s">
        <v>1273</v>
      </c>
      <c r="TA1" s="181" t="s">
        <v>1275</v>
      </c>
      <c r="TB1" s="181" t="s">
        <v>1277</v>
      </c>
      <c r="TC1" s="181" t="s">
        <v>374</v>
      </c>
      <c r="TD1" s="181" t="s">
        <v>1279</v>
      </c>
      <c r="TE1" s="181" t="s">
        <v>1281</v>
      </c>
      <c r="TF1" s="181" t="s">
        <v>1283</v>
      </c>
      <c r="TG1" s="181" t="s">
        <v>1285</v>
      </c>
      <c r="TH1" s="181" t="s">
        <v>1287</v>
      </c>
      <c r="TI1" s="181" t="s">
        <v>1289</v>
      </c>
      <c r="TJ1" s="190" t="s">
        <v>375</v>
      </c>
      <c r="TK1" s="181" t="s">
        <v>376</v>
      </c>
      <c r="TL1" s="181" t="s">
        <v>377</v>
      </c>
      <c r="TM1" s="181" t="s">
        <v>1291</v>
      </c>
      <c r="TN1" s="181" t="s">
        <v>1293</v>
      </c>
      <c r="TO1" s="181" t="s">
        <v>1294</v>
      </c>
      <c r="TP1" s="181" t="s">
        <v>1296</v>
      </c>
      <c r="TQ1" s="181" t="s">
        <v>1298</v>
      </c>
      <c r="TR1" s="181" t="s">
        <v>1300</v>
      </c>
      <c r="TS1" s="181" t="s">
        <v>1302</v>
      </c>
      <c r="TT1" s="181" t="s">
        <v>1304</v>
      </c>
      <c r="TU1" s="181" t="s">
        <v>1306</v>
      </c>
      <c r="TV1" s="181" t="s">
        <v>1308</v>
      </c>
      <c r="TW1" s="181" t="s">
        <v>1310</v>
      </c>
      <c r="TX1" s="181" t="s">
        <v>1312</v>
      </c>
      <c r="TY1" s="181" t="s">
        <v>1314</v>
      </c>
      <c r="TZ1" s="181" t="s">
        <v>1316</v>
      </c>
      <c r="UA1" s="181" t="s">
        <v>1318</v>
      </c>
      <c r="UB1" s="181" t="s">
        <v>1320</v>
      </c>
      <c r="UC1" s="178" t="s">
        <v>1322</v>
      </c>
      <c r="UD1" s="181" t="s">
        <v>1324</v>
      </c>
      <c r="UE1" s="181" t="s">
        <v>1326</v>
      </c>
      <c r="UF1" s="181" t="s">
        <v>1328</v>
      </c>
      <c r="UG1" s="181" t="s">
        <v>1330</v>
      </c>
      <c r="UH1" s="181" t="s">
        <v>1332</v>
      </c>
      <c r="UI1" s="184"/>
    </row>
    <row r="2" spans="1:555" s="122" customFormat="1" hidden="1" x14ac:dyDescent="0.25">
      <c r="A2" s="122" t="s">
        <v>1355</v>
      </c>
      <c r="B2" s="122" t="s">
        <v>1357</v>
      </c>
      <c r="C2" s="122" t="s">
        <v>469</v>
      </c>
      <c r="D2" s="122" t="s">
        <v>1356</v>
      </c>
      <c r="E2" s="122" t="s">
        <v>1358</v>
      </c>
      <c r="F2" s="122" t="s">
        <v>470</v>
      </c>
      <c r="G2" s="160" t="s">
        <v>1359</v>
      </c>
      <c r="H2" s="122" t="s">
        <v>1360</v>
      </c>
      <c r="I2" s="122" t="s">
        <v>1361</v>
      </c>
      <c r="J2" s="122" t="s">
        <v>1443</v>
      </c>
      <c r="K2" s="122" t="s">
        <v>1362</v>
      </c>
      <c r="L2" s="122" t="s">
        <v>1363</v>
      </c>
      <c r="M2" s="122" t="s">
        <v>1364</v>
      </c>
      <c r="N2" s="122" t="s">
        <v>1365</v>
      </c>
      <c r="O2" s="122" t="s">
        <v>1366</v>
      </c>
      <c r="P2" s="122" t="s">
        <v>1468</v>
      </c>
      <c r="Q2" s="122" t="s">
        <v>1503</v>
      </c>
      <c r="R2" s="459" t="str">
        <f>+Presupuesto!D11</f>
        <v>Recurrente</v>
      </c>
      <c r="S2" s="459" t="str">
        <f>+Presupuesto!E11</f>
        <v>Programa / Proyecto 2017</v>
      </c>
      <c r="U2" s="122" t="s">
        <v>392</v>
      </c>
      <c r="V2" s="122" t="s">
        <v>410</v>
      </c>
      <c r="W2" s="122" t="s">
        <v>393</v>
      </c>
      <c r="X2" s="122" t="s">
        <v>394</v>
      </c>
      <c r="Y2" s="122" t="s">
        <v>395</v>
      </c>
      <c r="Z2" s="122" t="s">
        <v>396</v>
      </c>
      <c r="AA2" s="122" t="s">
        <v>397</v>
      </c>
      <c r="AB2" s="122" t="s">
        <v>398</v>
      </c>
      <c r="AC2" s="122" t="s">
        <v>399</v>
      </c>
      <c r="AD2" s="122" t="s">
        <v>400</v>
      </c>
      <c r="AE2" s="122" t="s">
        <v>401</v>
      </c>
      <c r="AF2" s="122" t="s">
        <v>402</v>
      </c>
      <c r="AH2" s="454" t="s">
        <v>418</v>
      </c>
      <c r="AI2" s="454" t="s">
        <v>419</v>
      </c>
      <c r="AJ2" s="454" t="s">
        <v>420</v>
      </c>
      <c r="AK2" s="454" t="s">
        <v>421</v>
      </c>
      <c r="AL2" s="454" t="s">
        <v>422</v>
      </c>
      <c r="AM2" s="454" t="s">
        <v>425</v>
      </c>
      <c r="AN2" s="454" t="s">
        <v>423</v>
      </c>
      <c r="AO2" s="454" t="s">
        <v>424</v>
      </c>
      <c r="AP2" s="454" t="s">
        <v>426</v>
      </c>
      <c r="AQ2" s="454" t="s">
        <v>427</v>
      </c>
      <c r="AR2" s="454" t="s">
        <v>428</v>
      </c>
      <c r="AS2" s="454" t="s">
        <v>429</v>
      </c>
      <c r="AT2" s="454" t="s">
        <v>430</v>
      </c>
      <c r="AU2" s="454" t="s">
        <v>431</v>
      </c>
      <c r="AV2" s="454" t="s">
        <v>432</v>
      </c>
      <c r="AW2" s="454" t="s">
        <v>433</v>
      </c>
      <c r="AX2" s="454" t="s">
        <v>434</v>
      </c>
      <c r="AY2" s="454" t="s">
        <v>435</v>
      </c>
      <c r="AZ2" s="454" t="s">
        <v>436</v>
      </c>
      <c r="BA2" s="454" t="s">
        <v>437</v>
      </c>
      <c r="BB2" s="454" t="s">
        <v>438</v>
      </c>
      <c r="BC2" s="454" t="s">
        <v>439</v>
      </c>
      <c r="BD2" s="454" t="s">
        <v>440</v>
      </c>
      <c r="BE2" s="454" t="s">
        <v>441</v>
      </c>
      <c r="BF2" s="454" t="s">
        <v>442</v>
      </c>
      <c r="BG2" s="454" t="s">
        <v>443</v>
      </c>
      <c r="BH2" s="454" t="s">
        <v>444</v>
      </c>
      <c r="BI2" s="454" t="s">
        <v>445</v>
      </c>
      <c r="BJ2" s="454" t="s">
        <v>446</v>
      </c>
      <c r="BK2" s="454" t="s">
        <v>447</v>
      </c>
      <c r="BL2" s="454" t="s">
        <v>448</v>
      </c>
      <c r="BM2" s="454" t="s">
        <v>449</v>
      </c>
      <c r="BN2" s="454" t="s">
        <v>450</v>
      </c>
      <c r="BO2" s="454" t="s">
        <v>451</v>
      </c>
      <c r="BP2" s="454" t="s">
        <v>452</v>
      </c>
      <c r="BQ2" s="454" t="s">
        <v>453</v>
      </c>
      <c r="BR2" s="454" t="s">
        <v>454</v>
      </c>
      <c r="BS2" s="454" t="s">
        <v>455</v>
      </c>
      <c r="BT2" s="454" t="s">
        <v>456</v>
      </c>
      <c r="BU2" s="454" t="s">
        <v>457</v>
      </c>
    </row>
    <row r="3" spans="1:555" hidden="1" x14ac:dyDescent="0.25">
      <c r="AH3" s="455">
        <v>2500</v>
      </c>
      <c r="AI3" s="455">
        <v>1900</v>
      </c>
      <c r="AJ3" s="455">
        <v>1650</v>
      </c>
      <c r="AK3" s="455">
        <v>1580</v>
      </c>
      <c r="AL3" s="455">
        <v>2250</v>
      </c>
      <c r="AM3" s="455">
        <v>1650</v>
      </c>
      <c r="AN3" s="455">
        <v>1400</v>
      </c>
      <c r="AO3" s="456">
        <v>1340</v>
      </c>
      <c r="AP3" s="456">
        <v>2000</v>
      </c>
      <c r="AQ3" s="456">
        <v>1400</v>
      </c>
      <c r="AR3" s="456">
        <v>1150</v>
      </c>
      <c r="AS3" s="456">
        <v>1100</v>
      </c>
      <c r="AT3" s="456">
        <v>1750</v>
      </c>
      <c r="AU3" s="456">
        <v>1150</v>
      </c>
      <c r="AV3" s="456">
        <v>900</v>
      </c>
      <c r="AW3" s="456">
        <v>860</v>
      </c>
      <c r="AX3" s="456">
        <v>1200</v>
      </c>
      <c r="AY3" s="457">
        <v>900</v>
      </c>
      <c r="AZ3" s="457">
        <v>650</v>
      </c>
      <c r="BA3" s="457">
        <v>620</v>
      </c>
      <c r="BB3" s="455">
        <f>+'Cuadro Resumen'!C213</f>
        <v>5759.1495000000004</v>
      </c>
      <c r="BC3" s="455">
        <f>+'Cuadro Resumen'!D213</f>
        <v>5307.4515000000001</v>
      </c>
      <c r="BD3" s="455">
        <f>+'Cuadro Resumen'!E213</f>
        <v>6775.47</v>
      </c>
      <c r="BE3" s="455">
        <f>+'Cuadro Resumen'!F213</f>
        <v>6323.7719999999999</v>
      </c>
      <c r="BF3" s="455">
        <f>+'Cuadro Resumen'!C214</f>
        <v>5081.6025</v>
      </c>
      <c r="BG3" s="455">
        <f>+'Cuadro Resumen'!D214</f>
        <v>4629.9045000000006</v>
      </c>
      <c r="BH3" s="455">
        <f>+'Cuadro Resumen'!E214</f>
        <v>6097.9230000000007</v>
      </c>
      <c r="BI3" s="455">
        <f>+'Cuadro Resumen'!F214</f>
        <v>5646.2250000000004</v>
      </c>
      <c r="BJ3" s="456">
        <f>+'Cuadro Resumen'!C215</f>
        <v>4404.0555000000004</v>
      </c>
      <c r="BK3" s="456">
        <f>+'Cuadro Resumen'!D215</f>
        <v>4065.2820000000002</v>
      </c>
      <c r="BL3" s="456">
        <f>+'Cuadro Resumen'!E215</f>
        <v>5420.3760000000002</v>
      </c>
      <c r="BM3" s="456">
        <f>+'Cuadro Resumen'!F215</f>
        <v>4968.6779999999999</v>
      </c>
      <c r="BN3" s="456">
        <f>+'Cuadro Resumen'!C216</f>
        <v>3726.5085000000004</v>
      </c>
      <c r="BO3" s="456">
        <f>+'Cuadro Resumen'!D216</f>
        <v>3387.7350000000001</v>
      </c>
      <c r="BP3" s="456">
        <f>+'Cuadro Resumen'!E216</f>
        <v>4742.8290000000006</v>
      </c>
      <c r="BQ3" s="456">
        <f>+'Cuadro Resumen'!F216</f>
        <v>4404.0555000000004</v>
      </c>
      <c r="BR3" s="456">
        <f>+'Cuadro Resumen'!C217</f>
        <v>3274.8105</v>
      </c>
      <c r="BS3" s="456">
        <f>+'Cuadro Resumen'!D217</f>
        <v>3048.9615000000003</v>
      </c>
      <c r="BT3" s="456">
        <f>+'Cuadro Resumen'!E217</f>
        <v>4178.2065000000002</v>
      </c>
      <c r="BU3" s="456">
        <f>+'Cuadro Resumen'!F217</f>
        <v>3839.433</v>
      </c>
    </row>
    <row r="4" spans="1:555" ht="15.75" thickBot="1" x14ac:dyDescent="0.3"/>
    <row r="5" spans="1:555" ht="27" thickBot="1" x14ac:dyDescent="0.3">
      <c r="C5" s="87" t="s">
        <v>387</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C10" s="157" t="s">
        <v>53</v>
      </c>
      <c r="D10" s="372">
        <f>SUM(F17:F37)</f>
        <v>0</v>
      </c>
      <c r="F10" s="70"/>
      <c r="G10" s="79"/>
      <c r="H10" s="70"/>
      <c r="I10" s="70"/>
    </row>
    <row r="11" spans="1:555" x14ac:dyDescent="0.25">
      <c r="C11" s="70"/>
      <c r="D11" s="31"/>
      <c r="E11" s="93"/>
      <c r="F11" s="93"/>
      <c r="G11" s="93"/>
      <c r="H11" s="76"/>
      <c r="I11" s="76"/>
      <c r="J11" s="76"/>
      <c r="K11" s="112"/>
    </row>
    <row r="12" spans="1:555" ht="15.75" x14ac:dyDescent="0.25">
      <c r="B12" s="93"/>
      <c r="C12" s="301" t="s">
        <v>390</v>
      </c>
      <c r="D12" s="368"/>
      <c r="E12" s="93"/>
      <c r="F12" s="93"/>
      <c r="G12" s="93"/>
      <c r="H12" s="76"/>
      <c r="I12" s="76"/>
      <c r="J12" s="76"/>
      <c r="K12" s="112"/>
    </row>
    <row r="13" spans="1:555" ht="18.75" x14ac:dyDescent="0.25">
      <c r="B13" s="93"/>
      <c r="C13" s="210" t="e">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Graduados'!$F:$G,2,FALSE),IFERROR(VLOOKUP(D12,'11. Gestion Administrativa'!$F:$G,2,FALSE),IFERROR(VLOOKUP(D12,'13. Gestión Académica'!$F:$G,2,FALSE),IFERROR(VLOOKUP(D12,'9. Asegura. de la Calid. y M'!$F:$G,2,FALSE),IFERROR(VLOOKUP(D12,'6. Gestión del Conocimiento'!$F:$G,2,FALSE),IFERROR(VLOOKUP(D12,'15. Gobernabilidad y Proceso...'!$G:$H,2,FALSE),IFERROR(VLOOKUP(D12,'12. Gestión del Talento Humano'!$F:$G,2,FALSE),IFERROR(VLOOKUP(D12,'14. Internacional... de la E.S.'!$F:$G,2,FALSE),IFERROR(VLOOKUP(D12,'10. Posgrado'!$F:$G,2,FALSE),IFERROR(VLOOKUP(D12,'17. Gestión TIC'!$F:$G,2,FALSE),IFERROR(VLOOKUP(D12,'16. Desa. del Sistema Educ.Sup.'!$F:$G,2,FALSE),IFERROR(VLOOKUP(D12,'8. Cultura de Inno. Insti...'!$F:$G,2,FALSE),VLOOKUP(D12,'7. Lo Esencial de la Reforma U.'!$G:$H,2,0)))))))))))))))))</f>
        <v>#N/A</v>
      </c>
      <c r="D13" s="31"/>
      <c r="E13" s="93"/>
      <c r="F13" s="93"/>
      <c r="G13" s="93"/>
      <c r="H13" s="76"/>
      <c r="I13" s="76"/>
      <c r="J13" s="76"/>
      <c r="K13" s="112"/>
    </row>
    <row r="14" spans="1:555" x14ac:dyDescent="0.25">
      <c r="B14" s="93"/>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129</v>
      </c>
      <c r="H16" s="136" t="s">
        <v>46</v>
      </c>
      <c r="I16" s="133" t="s">
        <v>130</v>
      </c>
      <c r="J16" s="133" t="s">
        <v>408</v>
      </c>
      <c r="K16" s="133" t="s">
        <v>409</v>
      </c>
      <c r="L16" s="133" t="s">
        <v>119</v>
      </c>
    </row>
    <row r="17" spans="3:12" x14ac:dyDescent="0.25">
      <c r="C17" s="141"/>
      <c r="D17" s="158"/>
      <c r="E17" s="115"/>
      <c r="F17" s="97">
        <f t="shared" ref="F17:F37" si="0">D17*E17</f>
        <v>0</v>
      </c>
      <c r="G17" s="161"/>
      <c r="H17" s="142"/>
      <c r="I17" s="130" t="e">
        <f>VLOOKUP(H17,Presupuesto!$B$11:$C$565,2,0)</f>
        <v>#N/A</v>
      </c>
      <c r="J17" s="218" t="s">
        <v>1443</v>
      </c>
      <c r="K17" s="98" t="s">
        <v>392</v>
      </c>
      <c r="L17" s="98"/>
    </row>
    <row r="18" spans="3:12" x14ac:dyDescent="0.25">
      <c r="C18" s="141"/>
      <c r="D18" s="158"/>
      <c r="E18" s="123"/>
      <c r="F18" s="97">
        <f t="shared" si="0"/>
        <v>0</v>
      </c>
      <c r="G18" s="161"/>
      <c r="H18" s="142"/>
      <c r="I18" s="130" t="e">
        <f>VLOOKUP(H18,Presupuesto!$B$11:$C$565,2,0)</f>
        <v>#N/A</v>
      </c>
      <c r="J18" s="98" t="str">
        <f>$J$17</f>
        <v>Posgrado</v>
      </c>
      <c r="K18" s="98" t="s">
        <v>410</v>
      </c>
      <c r="L18" s="98"/>
    </row>
    <row r="19" spans="3:12" x14ac:dyDescent="0.25">
      <c r="C19" s="141"/>
      <c r="D19" s="158"/>
      <c r="E19" s="123"/>
      <c r="F19" s="97">
        <f t="shared" si="0"/>
        <v>0</v>
      </c>
      <c r="G19" s="161"/>
      <c r="H19" s="142"/>
      <c r="I19" s="130" t="e">
        <f>VLOOKUP(H19,Presupuesto!$B$11:$C$565,2,0)</f>
        <v>#N/A</v>
      </c>
      <c r="J19" s="98" t="str">
        <f t="shared" ref="J19:J36" si="1">$J$17</f>
        <v>Posgrado</v>
      </c>
      <c r="K19" s="98" t="s">
        <v>410</v>
      </c>
      <c r="L19" s="98"/>
    </row>
    <row r="20" spans="3:12" x14ac:dyDescent="0.25">
      <c r="C20" s="141"/>
      <c r="D20" s="158"/>
      <c r="E20" s="123"/>
      <c r="F20" s="97">
        <f t="shared" si="0"/>
        <v>0</v>
      </c>
      <c r="G20" s="161"/>
      <c r="H20" s="142"/>
      <c r="I20" s="130" t="e">
        <f>VLOOKUP(H20,Presupuesto!$B$11:$C$565,2,0)</f>
        <v>#N/A</v>
      </c>
      <c r="J20" s="98" t="str">
        <f t="shared" si="1"/>
        <v>Posgrado</v>
      </c>
      <c r="K20" s="98" t="s">
        <v>410</v>
      </c>
      <c r="L20" s="98"/>
    </row>
    <row r="21" spans="3:12" x14ac:dyDescent="0.25">
      <c r="C21" s="141"/>
      <c r="D21" s="158"/>
      <c r="E21" s="123"/>
      <c r="F21" s="97">
        <f t="shared" si="0"/>
        <v>0</v>
      </c>
      <c r="G21" s="161"/>
      <c r="H21" s="142"/>
      <c r="I21" s="130" t="e">
        <f>VLOOKUP(H21,Presupuesto!$B$11:$C$565,2,0)</f>
        <v>#N/A</v>
      </c>
      <c r="J21" s="98" t="str">
        <f t="shared" si="1"/>
        <v>Posgrado</v>
      </c>
      <c r="K21" s="98" t="s">
        <v>410</v>
      </c>
      <c r="L21" s="98"/>
    </row>
    <row r="22" spans="3:12" x14ac:dyDescent="0.25">
      <c r="C22" s="141"/>
      <c r="D22" s="158"/>
      <c r="E22" s="123"/>
      <c r="F22" s="97">
        <f t="shared" si="0"/>
        <v>0</v>
      </c>
      <c r="G22" s="161"/>
      <c r="H22" s="142"/>
      <c r="I22" s="130" t="e">
        <f>VLOOKUP(H22,Presupuesto!$B$11:$C$565,2,0)</f>
        <v>#N/A</v>
      </c>
      <c r="J22" s="98" t="str">
        <f t="shared" si="1"/>
        <v>Posgrado</v>
      </c>
      <c r="K22" s="98" t="s">
        <v>399</v>
      </c>
      <c r="L22" s="98"/>
    </row>
    <row r="23" spans="3:12" x14ac:dyDescent="0.25">
      <c r="C23" s="141"/>
      <c r="D23" s="158"/>
      <c r="E23" s="123"/>
      <c r="F23" s="97">
        <f t="shared" si="0"/>
        <v>0</v>
      </c>
      <c r="G23" s="161"/>
      <c r="H23" s="142"/>
      <c r="I23" s="130" t="e">
        <f>VLOOKUP(H23,Presupuesto!$B$11:$C$565,2,0)</f>
        <v>#N/A</v>
      </c>
      <c r="J23" s="98" t="str">
        <f t="shared" si="1"/>
        <v>Posgrado</v>
      </c>
      <c r="K23" s="98" t="s">
        <v>410</v>
      </c>
      <c r="L23" s="98"/>
    </row>
    <row r="24" spans="3:12" x14ac:dyDescent="0.25">
      <c r="C24" s="141"/>
      <c r="D24" s="158"/>
      <c r="E24" s="123"/>
      <c r="F24" s="97">
        <f t="shared" si="0"/>
        <v>0</v>
      </c>
      <c r="G24" s="161"/>
      <c r="H24" s="142"/>
      <c r="I24" s="130" t="e">
        <f>VLOOKUP(H24,Presupuesto!$B$11:$C$565,2,0)</f>
        <v>#N/A</v>
      </c>
      <c r="J24" s="98" t="str">
        <f t="shared" si="1"/>
        <v>Posgrado</v>
      </c>
      <c r="K24" s="98" t="s">
        <v>410</v>
      </c>
      <c r="L24" s="98"/>
    </row>
    <row r="25" spans="3:12" x14ac:dyDescent="0.25">
      <c r="C25" s="141"/>
      <c r="D25" s="158"/>
      <c r="E25" s="123"/>
      <c r="F25" s="97">
        <f t="shared" si="0"/>
        <v>0</v>
      </c>
      <c r="G25" s="161"/>
      <c r="H25" s="142"/>
      <c r="I25" s="130" t="e">
        <f>VLOOKUP(H25,Presupuesto!$B$11:$C$565,2,0)</f>
        <v>#N/A</v>
      </c>
      <c r="J25" s="98" t="str">
        <f t="shared" si="1"/>
        <v>Posgrado</v>
      </c>
      <c r="K25" s="98" t="s">
        <v>410</v>
      </c>
      <c r="L25" s="98"/>
    </row>
    <row r="26" spans="3:12" x14ac:dyDescent="0.25">
      <c r="C26" s="141"/>
      <c r="D26" s="158"/>
      <c r="E26" s="123"/>
      <c r="F26" s="97">
        <f t="shared" si="0"/>
        <v>0</v>
      </c>
      <c r="G26" s="161"/>
      <c r="H26" s="142"/>
      <c r="I26" s="130" t="e">
        <f>VLOOKUP(H26,Presupuesto!$B$11:$C$565,2,0)</f>
        <v>#N/A</v>
      </c>
      <c r="J26" s="98" t="str">
        <f t="shared" si="1"/>
        <v>Posgrado</v>
      </c>
      <c r="K26" s="98" t="s">
        <v>410</v>
      </c>
      <c r="L26" s="98"/>
    </row>
    <row r="27" spans="3:12" x14ac:dyDescent="0.25">
      <c r="C27" s="143"/>
      <c r="D27" s="158"/>
      <c r="E27" s="118"/>
      <c r="F27" s="97">
        <f t="shared" si="0"/>
        <v>0</v>
      </c>
      <c r="G27" s="161"/>
      <c r="H27" s="144"/>
      <c r="I27" s="130" t="e">
        <f>VLOOKUP(H27,Presupuesto!$B$11:$C$565,2,0)</f>
        <v>#N/A</v>
      </c>
      <c r="J27" s="98" t="str">
        <f t="shared" si="1"/>
        <v>Posgrado</v>
      </c>
      <c r="K27" s="98" t="s">
        <v>410</v>
      </c>
      <c r="L27" s="98"/>
    </row>
    <row r="28" spans="3:12" x14ac:dyDescent="0.25">
      <c r="C28" s="143"/>
      <c r="D28" s="158"/>
      <c r="E28" s="118"/>
      <c r="F28" s="97">
        <f t="shared" si="0"/>
        <v>0</v>
      </c>
      <c r="G28" s="161"/>
      <c r="H28" s="144"/>
      <c r="I28" s="130" t="e">
        <f>VLOOKUP(H28,Presupuesto!$B$11:$C$565,2,0)</f>
        <v>#N/A</v>
      </c>
      <c r="J28" s="98" t="str">
        <f t="shared" si="1"/>
        <v>Posgrado</v>
      </c>
      <c r="K28" s="98" t="s">
        <v>410</v>
      </c>
      <c r="L28" s="98"/>
    </row>
    <row r="29" spans="3:12" x14ac:dyDescent="0.25">
      <c r="C29" s="143"/>
      <c r="D29" s="158"/>
      <c r="E29" s="118"/>
      <c r="F29" s="97">
        <f t="shared" si="0"/>
        <v>0</v>
      </c>
      <c r="G29" s="161"/>
      <c r="H29" s="144"/>
      <c r="I29" s="130" t="e">
        <f>VLOOKUP(H29,Presupuesto!$B$11:$C$565,2,0)</f>
        <v>#N/A</v>
      </c>
      <c r="J29" s="98" t="str">
        <f t="shared" si="1"/>
        <v>Posgrado</v>
      </c>
      <c r="K29" s="98" t="s">
        <v>410</v>
      </c>
      <c r="L29" s="98"/>
    </row>
    <row r="30" spans="3:12" x14ac:dyDescent="0.25">
      <c r="C30" s="143"/>
      <c r="D30" s="158"/>
      <c r="E30" s="118"/>
      <c r="F30" s="97">
        <f t="shared" si="0"/>
        <v>0</v>
      </c>
      <c r="G30" s="161"/>
      <c r="H30" s="144"/>
      <c r="I30" s="130" t="e">
        <f>VLOOKUP(H30,Presupuesto!$B$11:$C$565,2,0)</f>
        <v>#N/A</v>
      </c>
      <c r="J30" s="98" t="str">
        <f t="shared" si="1"/>
        <v>Posgrado</v>
      </c>
      <c r="K30" s="98" t="s">
        <v>410</v>
      </c>
      <c r="L30" s="98"/>
    </row>
    <row r="31" spans="3:12" x14ac:dyDescent="0.25">
      <c r="C31" s="143"/>
      <c r="D31" s="158"/>
      <c r="E31" s="118"/>
      <c r="F31" s="97">
        <f t="shared" si="0"/>
        <v>0</v>
      </c>
      <c r="G31" s="161"/>
      <c r="H31" s="144"/>
      <c r="I31" s="130" t="e">
        <f>VLOOKUP(H31,Presupuesto!$B$11:$C$565,2,0)</f>
        <v>#N/A</v>
      </c>
      <c r="J31" s="98" t="str">
        <f t="shared" si="1"/>
        <v>Posgrado</v>
      </c>
      <c r="K31" s="98" t="s">
        <v>410</v>
      </c>
      <c r="L31" s="98"/>
    </row>
    <row r="32" spans="3:12" x14ac:dyDescent="0.25">
      <c r="C32" s="143"/>
      <c r="D32" s="158"/>
      <c r="E32" s="118"/>
      <c r="F32" s="97">
        <f t="shared" si="0"/>
        <v>0</v>
      </c>
      <c r="G32" s="161"/>
      <c r="H32" s="144"/>
      <c r="I32" s="130" t="e">
        <f>VLOOKUP(H32,Presupuesto!$B$11:$C$565,2,0)</f>
        <v>#N/A</v>
      </c>
      <c r="J32" s="98" t="str">
        <f t="shared" si="1"/>
        <v>Posgrado</v>
      </c>
      <c r="K32" s="98" t="s">
        <v>410</v>
      </c>
      <c r="L32" s="98"/>
    </row>
    <row r="33" spans="3:12" x14ac:dyDescent="0.25">
      <c r="C33" s="145"/>
      <c r="D33" s="158"/>
      <c r="E33" s="118"/>
      <c r="F33" s="97">
        <f t="shared" si="0"/>
        <v>0</v>
      </c>
      <c r="G33" s="161"/>
      <c r="H33" s="146"/>
      <c r="I33" s="130" t="e">
        <f>VLOOKUP(H33,Presupuesto!$B$11:$C$565,2,0)</f>
        <v>#N/A</v>
      </c>
      <c r="J33" s="98" t="str">
        <f t="shared" si="1"/>
        <v>Posgrado</v>
      </c>
      <c r="K33" s="98" t="s">
        <v>401</v>
      </c>
      <c r="L33" s="98"/>
    </row>
    <row r="34" spans="3:12" x14ac:dyDescent="0.25">
      <c r="C34" s="145"/>
      <c r="D34" s="158"/>
      <c r="E34" s="118"/>
      <c r="F34" s="97">
        <f t="shared" si="0"/>
        <v>0</v>
      </c>
      <c r="G34" s="161"/>
      <c r="H34" s="146"/>
      <c r="I34" s="130" t="e">
        <f>VLOOKUP(H34,Presupuesto!$B$11:$C$565,2,0)</f>
        <v>#N/A</v>
      </c>
      <c r="J34" s="98" t="str">
        <f t="shared" si="1"/>
        <v>Posgrado</v>
      </c>
      <c r="K34" s="98" t="s">
        <v>410</v>
      </c>
      <c r="L34" s="98"/>
    </row>
    <row r="35" spans="3:12" x14ac:dyDescent="0.25">
      <c r="C35" s="145"/>
      <c r="D35" s="158"/>
      <c r="E35" s="118"/>
      <c r="F35" s="97">
        <f t="shared" si="0"/>
        <v>0</v>
      </c>
      <c r="G35" s="161"/>
      <c r="H35" s="146"/>
      <c r="I35" s="130" t="e">
        <f>VLOOKUP(H35,Presupuesto!$B$11:$C$565,2,0)</f>
        <v>#N/A</v>
      </c>
      <c r="J35" s="98" t="str">
        <f t="shared" si="1"/>
        <v>Posgrado</v>
      </c>
      <c r="K35" s="98" t="s">
        <v>410</v>
      </c>
      <c r="L35" s="98"/>
    </row>
    <row r="36" spans="3:12" x14ac:dyDescent="0.25">
      <c r="C36" s="145"/>
      <c r="D36" s="158"/>
      <c r="E36" s="118"/>
      <c r="F36" s="97">
        <f t="shared" si="0"/>
        <v>0</v>
      </c>
      <c r="G36" s="161"/>
      <c r="H36" s="146"/>
      <c r="I36" s="130" t="e">
        <f>VLOOKUP(H36,Presupuesto!$B$11:$C$565,2,0)</f>
        <v>#N/A</v>
      </c>
      <c r="J36" s="98" t="str">
        <f t="shared" si="1"/>
        <v>Posgrado</v>
      </c>
      <c r="K36" s="98" t="s">
        <v>410</v>
      </c>
      <c r="L36" s="98"/>
    </row>
    <row r="37" spans="3:12" ht="15.75" thickBot="1" x14ac:dyDescent="0.3">
      <c r="C37" s="147"/>
      <c r="D37" s="222"/>
      <c r="E37" s="103"/>
      <c r="F37" s="105">
        <f t="shared" si="0"/>
        <v>0</v>
      </c>
      <c r="G37" s="162"/>
      <c r="H37" s="148"/>
      <c r="I37" s="132" t="e">
        <f>VLOOKUP(H37,Presupuesto!$B$11:$C$565,2,0)</f>
        <v>#N/A</v>
      </c>
      <c r="J37" s="106" t="str">
        <f>$J$20</f>
        <v>Posgrado</v>
      </c>
      <c r="K37" s="124" t="s">
        <v>392</v>
      </c>
      <c r="L37" s="106"/>
    </row>
    <row r="38" spans="3:12" x14ac:dyDescent="0.25">
      <c r="F38" s="90"/>
      <c r="G38" s="89"/>
      <c r="H38" s="90"/>
      <c r="I38" s="90"/>
    </row>
    <row r="39" spans="3:12" ht="15.75" thickBot="1" x14ac:dyDescent="0.3"/>
    <row r="40" spans="3:12" ht="15.75" thickBot="1" x14ac:dyDescent="0.3">
      <c r="C40" s="157" t="s">
        <v>53</v>
      </c>
      <c r="D40" s="372">
        <f>SUM(F47:F67)</f>
        <v>0</v>
      </c>
      <c r="F40" s="70"/>
      <c r="G40" s="79"/>
      <c r="H40" s="70"/>
      <c r="I40" s="70"/>
    </row>
    <row r="41" spans="3:12" x14ac:dyDescent="0.25">
      <c r="C41" s="70"/>
      <c r="D41" s="31"/>
      <c r="E41" s="93"/>
      <c r="F41" s="93"/>
      <c r="G41" s="93"/>
      <c r="H41" s="76"/>
      <c r="I41" s="76"/>
      <c r="J41" s="76"/>
      <c r="K41" s="112"/>
    </row>
    <row r="42" spans="3:12" ht="15.75" x14ac:dyDescent="0.25">
      <c r="C42" s="301" t="s">
        <v>390</v>
      </c>
      <c r="D42" s="368"/>
      <c r="E42" s="93"/>
      <c r="F42" s="93"/>
      <c r="G42" s="93"/>
      <c r="H42" s="76"/>
      <c r="I42" s="76"/>
      <c r="J42" s="76"/>
      <c r="K42" s="112"/>
    </row>
    <row r="43" spans="3:12" ht="18.75" x14ac:dyDescent="0.25">
      <c r="C43" s="210" t="e">
        <f>IFERROR(VLOOKUP(D42,'1. Desarrollo e Innov. Curricu.'!$F:$G,2,FALSE),IFERROR(VLOOKUP(D42,'2. Investigación Científica'!$F:$G,2,FALSE),IFERROR(VLOOKUP(D42,'3. Vinculación Univ. Sociedad'!$F:$G,2,FALSE),IFERROR(VLOOKUP(D42,'4. Docencia y Profesorado Univ.'!$F:$G,2,FALSE),IFERROR(VLOOKUP(D42,'5. Estudiantes y Graduados'!$F:$G,2,FALSE),IFERROR(VLOOKUP(D42,'11. Gestion Administrativa'!$F:$G,2,FALSE),IFERROR(VLOOKUP(D42,'13. Gestión Académica'!$F:$G,2,FALSE),IFERROR(VLOOKUP(D42,'9. Asegura. de la Calid. y M'!$F:$G,2,FALSE),IFERROR(VLOOKUP(D42,'6. Gestión del Conocimiento'!$F:$G,2,FALSE),IFERROR(VLOOKUP(D42,'15. Gobernabilidad y Proceso...'!$G:$H,2,FALSE),IFERROR(VLOOKUP(D42,'12. Gestión del Talento Humano'!$F:$G,2,FALSE),IFERROR(VLOOKUP(D42,'14. Internacional... de la E.S.'!$F:$G,2,FALSE),IFERROR(VLOOKUP(D42,'10. Posgrado'!$F:$G,2,FALSE),IFERROR(VLOOKUP(D42,'17. Gestión TIC'!$F:$G,2,FALSE),IFERROR(VLOOKUP(D42,'16. Desa. del Sistema Educ.Sup.'!$F:$G,2,FALSE),IFERROR(VLOOKUP(D42,'8. Cultura de Inno. Insti...'!$F:$G,2,FALSE),VLOOKUP(D42,'7. Lo Esencial de la Reforma U.'!$G:$H,2,0)))))))))))))))))</f>
        <v>#N/A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129</v>
      </c>
      <c r="H46" s="136" t="s">
        <v>46</v>
      </c>
      <c r="I46" s="133" t="s">
        <v>130</v>
      </c>
      <c r="J46" s="133" t="s">
        <v>408</v>
      </c>
      <c r="K46" s="133" t="s">
        <v>409</v>
      </c>
      <c r="L46" s="133" t="s">
        <v>119</v>
      </c>
    </row>
    <row r="47" spans="3:12" x14ac:dyDescent="0.25">
      <c r="C47" s="141"/>
      <c r="D47" s="158"/>
      <c r="E47" s="115"/>
      <c r="F47" s="97">
        <f t="shared" ref="F47:F67" si="2">D47*E47</f>
        <v>0</v>
      </c>
      <c r="G47" s="161"/>
      <c r="H47" s="142"/>
      <c r="I47" s="130" t="e">
        <f>VLOOKUP(H47,Presupuesto!$B$11:$C$565,2,0)</f>
        <v>#N/A</v>
      </c>
      <c r="J47" s="218" t="s">
        <v>1443</v>
      </c>
      <c r="K47" s="98" t="s">
        <v>392</v>
      </c>
      <c r="L47" s="98"/>
    </row>
    <row r="48" spans="3:12" x14ac:dyDescent="0.25">
      <c r="C48" s="141"/>
      <c r="D48" s="158"/>
      <c r="E48" s="123"/>
      <c r="F48" s="97">
        <f t="shared" si="2"/>
        <v>0</v>
      </c>
      <c r="G48" s="161"/>
      <c r="H48" s="142"/>
      <c r="I48" s="130" t="e">
        <f>VLOOKUP(H48,Presupuesto!$B$11:$C$565,2,0)</f>
        <v>#N/A</v>
      </c>
      <c r="J48" s="98" t="str">
        <f>$J$47</f>
        <v>Posgrado</v>
      </c>
      <c r="K48" s="98" t="s">
        <v>410</v>
      </c>
      <c r="L48" s="98"/>
    </row>
    <row r="49" spans="3:12" x14ac:dyDescent="0.25">
      <c r="C49" s="141"/>
      <c r="D49" s="158"/>
      <c r="E49" s="123"/>
      <c r="F49" s="97">
        <f t="shared" si="2"/>
        <v>0</v>
      </c>
      <c r="G49" s="161"/>
      <c r="H49" s="142"/>
      <c r="I49" s="130" t="e">
        <f>VLOOKUP(H49,Presupuesto!$B$11:$C$565,2,0)</f>
        <v>#N/A</v>
      </c>
      <c r="J49" s="98" t="str">
        <f t="shared" ref="J49:J67" si="3">$J$47</f>
        <v>Posgrado</v>
      </c>
      <c r="K49" s="98" t="s">
        <v>410</v>
      </c>
      <c r="L49" s="98"/>
    </row>
    <row r="50" spans="3:12" x14ac:dyDescent="0.25">
      <c r="C50" s="141"/>
      <c r="D50" s="158"/>
      <c r="E50" s="123"/>
      <c r="F50" s="97">
        <f t="shared" si="2"/>
        <v>0</v>
      </c>
      <c r="G50" s="161"/>
      <c r="H50" s="142"/>
      <c r="I50" s="130" t="e">
        <f>VLOOKUP(H50,Presupuesto!$B$11:$C$565,2,0)</f>
        <v>#N/A</v>
      </c>
      <c r="J50" s="98" t="str">
        <f t="shared" si="3"/>
        <v>Posgrado</v>
      </c>
      <c r="K50" s="98" t="s">
        <v>410</v>
      </c>
      <c r="L50" s="98"/>
    </row>
    <row r="51" spans="3:12" x14ac:dyDescent="0.25">
      <c r="C51" s="141"/>
      <c r="D51" s="158"/>
      <c r="E51" s="123"/>
      <c r="F51" s="97">
        <f t="shared" si="2"/>
        <v>0</v>
      </c>
      <c r="G51" s="161"/>
      <c r="H51" s="142"/>
      <c r="I51" s="130" t="e">
        <f>VLOOKUP(H51,Presupuesto!$B$11:$C$565,2,0)</f>
        <v>#N/A</v>
      </c>
      <c r="J51" s="98" t="str">
        <f t="shared" si="3"/>
        <v>Posgrado</v>
      </c>
      <c r="K51" s="98" t="s">
        <v>410</v>
      </c>
      <c r="L51" s="98"/>
    </row>
    <row r="52" spans="3:12" x14ac:dyDescent="0.25">
      <c r="C52" s="141"/>
      <c r="D52" s="158"/>
      <c r="E52" s="123"/>
      <c r="F52" s="97">
        <f t="shared" si="2"/>
        <v>0</v>
      </c>
      <c r="G52" s="161"/>
      <c r="H52" s="142"/>
      <c r="I52" s="130" t="e">
        <f>VLOOKUP(H52,Presupuesto!$B$11:$C$565,2,0)</f>
        <v>#N/A</v>
      </c>
      <c r="J52" s="98" t="str">
        <f t="shared" si="3"/>
        <v>Posgrado</v>
      </c>
      <c r="K52" s="98" t="s">
        <v>399</v>
      </c>
      <c r="L52" s="98"/>
    </row>
    <row r="53" spans="3:12" x14ac:dyDescent="0.25">
      <c r="C53" s="141"/>
      <c r="D53" s="158"/>
      <c r="E53" s="123"/>
      <c r="F53" s="97">
        <f t="shared" si="2"/>
        <v>0</v>
      </c>
      <c r="G53" s="161"/>
      <c r="H53" s="142"/>
      <c r="I53" s="130" t="e">
        <f>VLOOKUP(H53,Presupuesto!$B$11:$C$565,2,0)</f>
        <v>#N/A</v>
      </c>
      <c r="J53" s="98" t="str">
        <f t="shared" si="3"/>
        <v>Posgrado</v>
      </c>
      <c r="K53" s="98" t="s">
        <v>410</v>
      </c>
      <c r="L53" s="98"/>
    </row>
    <row r="54" spans="3:12" x14ac:dyDescent="0.25">
      <c r="C54" s="141"/>
      <c r="D54" s="158"/>
      <c r="E54" s="123"/>
      <c r="F54" s="97">
        <f t="shared" si="2"/>
        <v>0</v>
      </c>
      <c r="G54" s="161"/>
      <c r="H54" s="142"/>
      <c r="I54" s="130" t="e">
        <f>VLOOKUP(H54,Presupuesto!$B$11:$C$565,2,0)</f>
        <v>#N/A</v>
      </c>
      <c r="J54" s="98" t="str">
        <f t="shared" si="3"/>
        <v>Posgrado</v>
      </c>
      <c r="K54" s="98" t="s">
        <v>410</v>
      </c>
      <c r="L54" s="98"/>
    </row>
    <row r="55" spans="3:12" x14ac:dyDescent="0.25">
      <c r="C55" s="141"/>
      <c r="D55" s="158"/>
      <c r="E55" s="123"/>
      <c r="F55" s="97">
        <f t="shared" si="2"/>
        <v>0</v>
      </c>
      <c r="G55" s="161"/>
      <c r="H55" s="142"/>
      <c r="I55" s="130" t="e">
        <f>VLOOKUP(H55,Presupuesto!$B$11:$C$565,2,0)</f>
        <v>#N/A</v>
      </c>
      <c r="J55" s="98" t="str">
        <f t="shared" si="3"/>
        <v>Posgrado</v>
      </c>
      <c r="K55" s="98" t="s">
        <v>410</v>
      </c>
      <c r="L55" s="98"/>
    </row>
    <row r="56" spans="3:12" x14ac:dyDescent="0.25">
      <c r="C56" s="141"/>
      <c r="D56" s="158"/>
      <c r="E56" s="123"/>
      <c r="F56" s="97">
        <f t="shared" si="2"/>
        <v>0</v>
      </c>
      <c r="G56" s="161"/>
      <c r="H56" s="142"/>
      <c r="I56" s="130" t="e">
        <f>VLOOKUP(H56,Presupuesto!$B$11:$C$565,2,0)</f>
        <v>#N/A</v>
      </c>
      <c r="J56" s="98" t="str">
        <f t="shared" si="3"/>
        <v>Posgrado</v>
      </c>
      <c r="K56" s="98" t="s">
        <v>410</v>
      </c>
      <c r="L56" s="98"/>
    </row>
    <row r="57" spans="3:12" x14ac:dyDescent="0.25">
      <c r="C57" s="143"/>
      <c r="D57" s="158"/>
      <c r="E57" s="118"/>
      <c r="F57" s="97">
        <f t="shared" si="2"/>
        <v>0</v>
      </c>
      <c r="G57" s="161"/>
      <c r="H57" s="144"/>
      <c r="I57" s="130" t="e">
        <f>VLOOKUP(H57,Presupuesto!$B$11:$C$565,2,0)</f>
        <v>#N/A</v>
      </c>
      <c r="J57" s="98" t="str">
        <f t="shared" si="3"/>
        <v>Posgrado</v>
      </c>
      <c r="K57" s="98" t="s">
        <v>410</v>
      </c>
      <c r="L57" s="98"/>
    </row>
    <row r="58" spans="3:12" x14ac:dyDescent="0.25">
      <c r="C58" s="143"/>
      <c r="D58" s="158"/>
      <c r="E58" s="118"/>
      <c r="F58" s="97">
        <f t="shared" si="2"/>
        <v>0</v>
      </c>
      <c r="G58" s="161"/>
      <c r="H58" s="144"/>
      <c r="I58" s="130" t="e">
        <f>VLOOKUP(H58,Presupuesto!$B$11:$C$565,2,0)</f>
        <v>#N/A</v>
      </c>
      <c r="J58" s="98" t="str">
        <f t="shared" si="3"/>
        <v>Posgrado</v>
      </c>
      <c r="K58" s="98" t="s">
        <v>410</v>
      </c>
      <c r="L58" s="98"/>
    </row>
    <row r="59" spans="3:12" x14ac:dyDescent="0.25">
      <c r="C59" s="143"/>
      <c r="D59" s="158"/>
      <c r="E59" s="118"/>
      <c r="F59" s="97">
        <f t="shared" si="2"/>
        <v>0</v>
      </c>
      <c r="G59" s="161"/>
      <c r="H59" s="144"/>
      <c r="I59" s="130" t="e">
        <f>VLOOKUP(H59,Presupuesto!$B$11:$C$565,2,0)</f>
        <v>#N/A</v>
      </c>
      <c r="J59" s="98" t="str">
        <f t="shared" si="3"/>
        <v>Posgrado</v>
      </c>
      <c r="K59" s="98" t="s">
        <v>410</v>
      </c>
      <c r="L59" s="98"/>
    </row>
    <row r="60" spans="3:12" x14ac:dyDescent="0.25">
      <c r="C60" s="143"/>
      <c r="D60" s="158"/>
      <c r="E60" s="118"/>
      <c r="F60" s="97">
        <f t="shared" si="2"/>
        <v>0</v>
      </c>
      <c r="G60" s="161"/>
      <c r="H60" s="144"/>
      <c r="I60" s="130" t="e">
        <f>VLOOKUP(H60,Presupuesto!$B$11:$C$565,2,0)</f>
        <v>#N/A</v>
      </c>
      <c r="J60" s="98" t="str">
        <f t="shared" si="3"/>
        <v>Posgrado</v>
      </c>
      <c r="K60" s="98" t="s">
        <v>410</v>
      </c>
      <c r="L60" s="98"/>
    </row>
    <row r="61" spans="3:12" x14ac:dyDescent="0.25">
      <c r="C61" s="143"/>
      <c r="D61" s="158"/>
      <c r="E61" s="118"/>
      <c r="F61" s="97">
        <f t="shared" si="2"/>
        <v>0</v>
      </c>
      <c r="G61" s="161"/>
      <c r="H61" s="144"/>
      <c r="I61" s="130" t="e">
        <f>VLOOKUP(H61,Presupuesto!$B$11:$C$565,2,0)</f>
        <v>#N/A</v>
      </c>
      <c r="J61" s="98" t="str">
        <f t="shared" si="3"/>
        <v>Posgrado</v>
      </c>
      <c r="K61" s="98" t="s">
        <v>410</v>
      </c>
      <c r="L61" s="98"/>
    </row>
    <row r="62" spans="3:12" x14ac:dyDescent="0.25">
      <c r="C62" s="143"/>
      <c r="D62" s="158"/>
      <c r="E62" s="118"/>
      <c r="F62" s="97">
        <f t="shared" si="2"/>
        <v>0</v>
      </c>
      <c r="G62" s="161"/>
      <c r="H62" s="144"/>
      <c r="I62" s="130" t="e">
        <f>VLOOKUP(H62,Presupuesto!$B$11:$C$565,2,0)</f>
        <v>#N/A</v>
      </c>
      <c r="J62" s="98" t="str">
        <f t="shared" si="3"/>
        <v>Posgrado</v>
      </c>
      <c r="K62" s="98" t="s">
        <v>410</v>
      </c>
      <c r="L62" s="98"/>
    </row>
    <row r="63" spans="3:12" x14ac:dyDescent="0.25">
      <c r="C63" s="145"/>
      <c r="D63" s="158"/>
      <c r="E63" s="118"/>
      <c r="F63" s="97">
        <f t="shared" si="2"/>
        <v>0</v>
      </c>
      <c r="G63" s="161"/>
      <c r="H63" s="146"/>
      <c r="I63" s="130" t="e">
        <f>VLOOKUP(H63,Presupuesto!$B$11:$C$565,2,0)</f>
        <v>#N/A</v>
      </c>
      <c r="J63" s="98" t="str">
        <f t="shared" si="3"/>
        <v>Posgrado</v>
      </c>
      <c r="K63" s="98" t="s">
        <v>401</v>
      </c>
      <c r="L63" s="98"/>
    </row>
    <row r="64" spans="3:12" x14ac:dyDescent="0.25">
      <c r="C64" s="145"/>
      <c r="D64" s="158"/>
      <c r="E64" s="118"/>
      <c r="F64" s="97">
        <f t="shared" si="2"/>
        <v>0</v>
      </c>
      <c r="G64" s="161"/>
      <c r="H64" s="146"/>
      <c r="I64" s="130" t="e">
        <f>VLOOKUP(H64,Presupuesto!$B$11:$C$565,2,0)</f>
        <v>#N/A</v>
      </c>
      <c r="J64" s="98" t="str">
        <f t="shared" si="3"/>
        <v>Posgrado</v>
      </c>
      <c r="K64" s="98" t="s">
        <v>410</v>
      </c>
      <c r="L64" s="98"/>
    </row>
    <row r="65" spans="3:12" x14ac:dyDescent="0.25">
      <c r="C65" s="145"/>
      <c r="D65" s="158"/>
      <c r="E65" s="118"/>
      <c r="F65" s="97">
        <f t="shared" si="2"/>
        <v>0</v>
      </c>
      <c r="G65" s="161"/>
      <c r="H65" s="146"/>
      <c r="I65" s="130" t="e">
        <f>VLOOKUP(H65,Presupuesto!$B$11:$C$565,2,0)</f>
        <v>#N/A</v>
      </c>
      <c r="J65" s="98" t="str">
        <f t="shared" si="3"/>
        <v>Posgrado</v>
      </c>
      <c r="K65" s="98" t="s">
        <v>410</v>
      </c>
      <c r="L65" s="98"/>
    </row>
    <row r="66" spans="3:12" x14ac:dyDescent="0.25">
      <c r="C66" s="145"/>
      <c r="D66" s="158"/>
      <c r="E66" s="118"/>
      <c r="F66" s="97">
        <f t="shared" si="2"/>
        <v>0</v>
      </c>
      <c r="G66" s="161"/>
      <c r="H66" s="146"/>
      <c r="I66" s="130" t="e">
        <f>VLOOKUP(H66,Presupuesto!$B$11:$C$565,2,0)</f>
        <v>#N/A</v>
      </c>
      <c r="J66" s="98" t="str">
        <f t="shared" si="3"/>
        <v>Posgrado</v>
      </c>
      <c r="K66" s="98" t="s">
        <v>410</v>
      </c>
      <c r="L66" s="98"/>
    </row>
    <row r="67" spans="3:12" ht="15.75" thickBot="1" x14ac:dyDescent="0.3">
      <c r="C67" s="147"/>
      <c r="D67" s="222"/>
      <c r="E67" s="103"/>
      <c r="F67" s="105">
        <f t="shared" si="2"/>
        <v>0</v>
      </c>
      <c r="G67" s="162"/>
      <c r="H67" s="148"/>
      <c r="I67" s="132" t="e">
        <f>VLOOKUP(H67,Presupuesto!$B$11:$C$565,2,0)</f>
        <v>#N/A</v>
      </c>
      <c r="J67" s="106" t="str">
        <f t="shared" si="3"/>
        <v>Posgrado</v>
      </c>
      <c r="K67" s="124" t="s">
        <v>392</v>
      </c>
      <c r="L67" s="106"/>
    </row>
    <row r="69" spans="3:12" ht="15.75" thickBot="1" x14ac:dyDescent="0.3"/>
    <row r="70" spans="3:12" ht="15.75" thickBot="1" x14ac:dyDescent="0.3">
      <c r="C70" s="157" t="s">
        <v>53</v>
      </c>
      <c r="D70" s="372">
        <f>SUM(F77:F97)</f>
        <v>0</v>
      </c>
      <c r="F70" s="70"/>
      <c r="G70" s="79"/>
      <c r="H70" s="70"/>
      <c r="I70" s="70"/>
    </row>
    <row r="71" spans="3:12" x14ac:dyDescent="0.25">
      <c r="C71" s="70"/>
      <c r="D71" s="31"/>
      <c r="E71" s="93"/>
      <c r="F71" s="93"/>
      <c r="G71" s="93"/>
      <c r="H71" s="76"/>
      <c r="I71" s="76"/>
      <c r="J71" s="76"/>
      <c r="K71" s="112"/>
    </row>
    <row r="72" spans="3:12" ht="15.75" x14ac:dyDescent="0.25">
      <c r="C72" s="301" t="s">
        <v>390</v>
      </c>
      <c r="D72" s="368"/>
      <c r="E72" s="93"/>
      <c r="F72" s="93"/>
      <c r="G72" s="93"/>
      <c r="H72" s="76"/>
      <c r="I72" s="76"/>
      <c r="J72" s="76"/>
      <c r="K72" s="112"/>
    </row>
    <row r="73" spans="3:12" ht="18.75" x14ac:dyDescent="0.25">
      <c r="C73" s="210" t="e">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Graduados'!$F:$G,2,FALSE),IFERROR(VLOOKUP(D72,'11. Gestion Administrativa'!$F:$G,2,FALSE),IFERROR(VLOOKUP(D72,'13. Gestión Académica'!$F:$G,2,FALSE),IFERROR(VLOOKUP(D72,'9. Asegura. de la Calid. y M'!$F:$G,2,FALSE),IFERROR(VLOOKUP(D72,'6. Gestión del Conocimiento'!$F:$G,2,FALSE),IFERROR(VLOOKUP(D72,'15. Gobernabilidad y Proceso...'!$G:$H,2,FALSE),IFERROR(VLOOKUP(D72,'12. Gestión del Talento Humano'!$F:$G,2,FALSE),IFERROR(VLOOKUP(D72,'14. Internacional... de la E.S.'!$F:$G,2,FALSE),IFERROR(VLOOKUP(D72,'10. Posgrado'!$F:$G,2,FALSE),IFERROR(VLOOKUP(D72,'17. Gestión TIC'!$F:$G,2,FALSE),IFERROR(VLOOKUP(D72,'16. Desa. del Sistema Educ.Sup.'!$F:$G,2,FALSE),IFERROR(VLOOKUP(D72,'8. Cultura de Inno. Insti...'!$F:$G,2,FALSE),VLOOKUP(D72,'7. Lo Esencial de la Reforma U.'!$G:$H,2,0)))))))))))))))))</f>
        <v>#N/A</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9" t="s">
        <v>44</v>
      </c>
      <c r="D76" s="134" t="s">
        <v>55</v>
      </c>
      <c r="E76" s="136" t="s">
        <v>57</v>
      </c>
      <c r="F76" s="135" t="s">
        <v>27</v>
      </c>
      <c r="G76" s="133" t="s">
        <v>129</v>
      </c>
      <c r="H76" s="136" t="s">
        <v>46</v>
      </c>
      <c r="I76" s="133" t="s">
        <v>130</v>
      </c>
      <c r="J76" s="133" t="s">
        <v>408</v>
      </c>
      <c r="K76" s="133" t="s">
        <v>409</v>
      </c>
      <c r="L76" s="133" t="s">
        <v>119</v>
      </c>
    </row>
    <row r="77" spans="3:12" x14ac:dyDescent="0.25">
      <c r="C77" s="141"/>
      <c r="D77" s="158"/>
      <c r="E77" s="115"/>
      <c r="F77" s="97">
        <f t="shared" ref="F77:F97" si="4">D77*E77</f>
        <v>0</v>
      </c>
      <c r="G77" s="161"/>
      <c r="H77" s="142"/>
      <c r="I77" s="130" t="e">
        <f>VLOOKUP(H77,Presupuesto!$B$11:$C$565,2,0)</f>
        <v>#N/A</v>
      </c>
      <c r="J77" s="218" t="s">
        <v>1443</v>
      </c>
      <c r="K77" s="98" t="s">
        <v>392</v>
      </c>
      <c r="L77" s="98"/>
    </row>
    <row r="78" spans="3:12" x14ac:dyDescent="0.25">
      <c r="C78" s="141"/>
      <c r="D78" s="158"/>
      <c r="E78" s="123"/>
      <c r="F78" s="97">
        <f t="shared" si="4"/>
        <v>0</v>
      </c>
      <c r="G78" s="161"/>
      <c r="H78" s="142"/>
      <c r="I78" s="130" t="e">
        <f>VLOOKUP(H78,Presupuesto!$B$11:$C$565,2,0)</f>
        <v>#N/A</v>
      </c>
      <c r="J78" s="98" t="str">
        <f>$J$77</f>
        <v>Posgrado</v>
      </c>
      <c r="K78" s="98" t="s">
        <v>410</v>
      </c>
      <c r="L78" s="98"/>
    </row>
    <row r="79" spans="3:12" x14ac:dyDescent="0.25">
      <c r="C79" s="141"/>
      <c r="D79" s="158"/>
      <c r="E79" s="123"/>
      <c r="F79" s="97">
        <f t="shared" si="4"/>
        <v>0</v>
      </c>
      <c r="G79" s="161"/>
      <c r="H79" s="142"/>
      <c r="I79" s="130" t="e">
        <f>VLOOKUP(H79,Presupuesto!$B$11:$C$565,2,0)</f>
        <v>#N/A</v>
      </c>
      <c r="J79" s="98" t="str">
        <f t="shared" ref="J79:J97" si="5">$J$77</f>
        <v>Posgrado</v>
      </c>
      <c r="K79" s="98" t="s">
        <v>410</v>
      </c>
      <c r="L79" s="98"/>
    </row>
    <row r="80" spans="3:12" x14ac:dyDescent="0.25">
      <c r="C80" s="141"/>
      <c r="D80" s="158"/>
      <c r="E80" s="123"/>
      <c r="F80" s="97">
        <f t="shared" si="4"/>
        <v>0</v>
      </c>
      <c r="G80" s="161"/>
      <c r="H80" s="142"/>
      <c r="I80" s="130" t="e">
        <f>VLOOKUP(H80,Presupuesto!$B$11:$C$565,2,0)</f>
        <v>#N/A</v>
      </c>
      <c r="J80" s="98" t="str">
        <f t="shared" si="5"/>
        <v>Posgrado</v>
      </c>
      <c r="K80" s="98" t="s">
        <v>410</v>
      </c>
      <c r="L80" s="98"/>
    </row>
    <row r="81" spans="3:12" x14ac:dyDescent="0.25">
      <c r="C81" s="141"/>
      <c r="D81" s="158"/>
      <c r="E81" s="123"/>
      <c r="F81" s="97">
        <f t="shared" si="4"/>
        <v>0</v>
      </c>
      <c r="G81" s="161"/>
      <c r="H81" s="142"/>
      <c r="I81" s="130" t="e">
        <f>VLOOKUP(H81,Presupuesto!$B$11:$C$565,2,0)</f>
        <v>#N/A</v>
      </c>
      <c r="J81" s="98" t="str">
        <f t="shared" si="5"/>
        <v>Posgrado</v>
      </c>
      <c r="K81" s="98" t="s">
        <v>410</v>
      </c>
      <c r="L81" s="98"/>
    </row>
    <row r="82" spans="3:12" x14ac:dyDescent="0.25">
      <c r="C82" s="141"/>
      <c r="D82" s="158"/>
      <c r="E82" s="123"/>
      <c r="F82" s="97">
        <f t="shared" si="4"/>
        <v>0</v>
      </c>
      <c r="G82" s="161"/>
      <c r="H82" s="142"/>
      <c r="I82" s="130" t="e">
        <f>VLOOKUP(H82,Presupuesto!$B$11:$C$565,2,0)</f>
        <v>#N/A</v>
      </c>
      <c r="J82" s="98" t="str">
        <f t="shared" si="5"/>
        <v>Posgrado</v>
      </c>
      <c r="K82" s="98" t="s">
        <v>399</v>
      </c>
      <c r="L82" s="98"/>
    </row>
    <row r="83" spans="3:12" x14ac:dyDescent="0.25">
      <c r="C83" s="141"/>
      <c r="D83" s="158"/>
      <c r="E83" s="123"/>
      <c r="F83" s="97">
        <f t="shared" si="4"/>
        <v>0</v>
      </c>
      <c r="G83" s="161"/>
      <c r="H83" s="142"/>
      <c r="I83" s="130" t="e">
        <f>VLOOKUP(H83,Presupuesto!$B$11:$C$565,2,0)</f>
        <v>#N/A</v>
      </c>
      <c r="J83" s="98" t="str">
        <f t="shared" si="5"/>
        <v>Posgrado</v>
      </c>
      <c r="K83" s="98" t="s">
        <v>410</v>
      </c>
      <c r="L83" s="98"/>
    </row>
    <row r="84" spans="3:12" x14ac:dyDescent="0.25">
      <c r="C84" s="141"/>
      <c r="D84" s="158"/>
      <c r="E84" s="123"/>
      <c r="F84" s="97">
        <f t="shared" si="4"/>
        <v>0</v>
      </c>
      <c r="G84" s="161"/>
      <c r="H84" s="142"/>
      <c r="I84" s="130" t="e">
        <f>VLOOKUP(H84,Presupuesto!$B$11:$C$565,2,0)</f>
        <v>#N/A</v>
      </c>
      <c r="J84" s="98" t="str">
        <f t="shared" si="5"/>
        <v>Posgrado</v>
      </c>
      <c r="K84" s="98" t="s">
        <v>410</v>
      </c>
      <c r="L84" s="98"/>
    </row>
    <row r="85" spans="3:12" x14ac:dyDescent="0.25">
      <c r="C85" s="141"/>
      <c r="D85" s="158"/>
      <c r="E85" s="123"/>
      <c r="F85" s="97">
        <f t="shared" si="4"/>
        <v>0</v>
      </c>
      <c r="G85" s="161"/>
      <c r="H85" s="142"/>
      <c r="I85" s="130" t="e">
        <f>VLOOKUP(H85,Presupuesto!$B$11:$C$565,2,0)</f>
        <v>#N/A</v>
      </c>
      <c r="J85" s="98" t="str">
        <f t="shared" si="5"/>
        <v>Posgrado</v>
      </c>
      <c r="K85" s="98" t="s">
        <v>410</v>
      </c>
      <c r="L85" s="98"/>
    </row>
    <row r="86" spans="3:12" x14ac:dyDescent="0.25">
      <c r="C86" s="141"/>
      <c r="D86" s="158"/>
      <c r="E86" s="123"/>
      <c r="F86" s="97">
        <f t="shared" si="4"/>
        <v>0</v>
      </c>
      <c r="G86" s="161"/>
      <c r="H86" s="142"/>
      <c r="I86" s="130" t="e">
        <f>VLOOKUP(H86,Presupuesto!$B$11:$C$565,2,0)</f>
        <v>#N/A</v>
      </c>
      <c r="J86" s="98" t="str">
        <f t="shared" si="5"/>
        <v>Posgrado</v>
      </c>
      <c r="K86" s="98" t="s">
        <v>410</v>
      </c>
      <c r="L86" s="98"/>
    </row>
    <row r="87" spans="3:12" x14ac:dyDescent="0.25">
      <c r="C87" s="143"/>
      <c r="D87" s="158"/>
      <c r="E87" s="118"/>
      <c r="F87" s="97">
        <f t="shared" si="4"/>
        <v>0</v>
      </c>
      <c r="G87" s="161"/>
      <c r="H87" s="144"/>
      <c r="I87" s="130" t="e">
        <f>VLOOKUP(H87,Presupuesto!$B$11:$C$565,2,0)</f>
        <v>#N/A</v>
      </c>
      <c r="J87" s="98" t="str">
        <f t="shared" si="5"/>
        <v>Posgrado</v>
      </c>
      <c r="K87" s="98" t="s">
        <v>410</v>
      </c>
      <c r="L87" s="98"/>
    </row>
    <row r="88" spans="3:12" x14ac:dyDescent="0.25">
      <c r="C88" s="143"/>
      <c r="D88" s="158"/>
      <c r="E88" s="118"/>
      <c r="F88" s="97">
        <f t="shared" si="4"/>
        <v>0</v>
      </c>
      <c r="G88" s="161"/>
      <c r="H88" s="144"/>
      <c r="I88" s="130" t="e">
        <f>VLOOKUP(H88,Presupuesto!$B$11:$C$565,2,0)</f>
        <v>#N/A</v>
      </c>
      <c r="J88" s="98" t="str">
        <f t="shared" si="5"/>
        <v>Posgrado</v>
      </c>
      <c r="K88" s="98" t="s">
        <v>410</v>
      </c>
      <c r="L88" s="98"/>
    </row>
    <row r="89" spans="3:12" x14ac:dyDescent="0.25">
      <c r="C89" s="143"/>
      <c r="D89" s="158"/>
      <c r="E89" s="118"/>
      <c r="F89" s="97">
        <f t="shared" si="4"/>
        <v>0</v>
      </c>
      <c r="G89" s="161"/>
      <c r="H89" s="144"/>
      <c r="I89" s="130" t="e">
        <f>VLOOKUP(H89,Presupuesto!$B$11:$C$565,2,0)</f>
        <v>#N/A</v>
      </c>
      <c r="J89" s="98" t="str">
        <f t="shared" si="5"/>
        <v>Posgrado</v>
      </c>
      <c r="K89" s="98" t="s">
        <v>410</v>
      </c>
      <c r="L89" s="98"/>
    </row>
    <row r="90" spans="3:12" x14ac:dyDescent="0.25">
      <c r="C90" s="143"/>
      <c r="D90" s="158"/>
      <c r="E90" s="118"/>
      <c r="F90" s="97">
        <f t="shared" si="4"/>
        <v>0</v>
      </c>
      <c r="G90" s="161"/>
      <c r="H90" s="144"/>
      <c r="I90" s="130" t="e">
        <f>VLOOKUP(H90,Presupuesto!$B$11:$C$565,2,0)</f>
        <v>#N/A</v>
      </c>
      <c r="J90" s="98" t="str">
        <f t="shared" si="5"/>
        <v>Posgrado</v>
      </c>
      <c r="K90" s="98" t="s">
        <v>410</v>
      </c>
      <c r="L90" s="98"/>
    </row>
    <row r="91" spans="3:12" x14ac:dyDescent="0.25">
      <c r="C91" s="143"/>
      <c r="D91" s="158"/>
      <c r="E91" s="118"/>
      <c r="F91" s="97">
        <f t="shared" si="4"/>
        <v>0</v>
      </c>
      <c r="G91" s="161"/>
      <c r="H91" s="144"/>
      <c r="I91" s="130" t="e">
        <f>VLOOKUP(H91,Presupuesto!$B$11:$C$565,2,0)</f>
        <v>#N/A</v>
      </c>
      <c r="J91" s="98" t="str">
        <f t="shared" si="5"/>
        <v>Posgrado</v>
      </c>
      <c r="K91" s="98" t="s">
        <v>410</v>
      </c>
      <c r="L91" s="98"/>
    </row>
    <row r="92" spans="3:12" x14ac:dyDescent="0.25">
      <c r="C92" s="143"/>
      <c r="D92" s="158"/>
      <c r="E92" s="118"/>
      <c r="F92" s="97">
        <f t="shared" si="4"/>
        <v>0</v>
      </c>
      <c r="G92" s="161"/>
      <c r="H92" s="144"/>
      <c r="I92" s="130" t="e">
        <f>VLOOKUP(H92,Presupuesto!$B$11:$C$565,2,0)</f>
        <v>#N/A</v>
      </c>
      <c r="J92" s="98" t="str">
        <f t="shared" si="5"/>
        <v>Posgrado</v>
      </c>
      <c r="K92" s="98" t="s">
        <v>410</v>
      </c>
      <c r="L92" s="98"/>
    </row>
    <row r="93" spans="3:12" x14ac:dyDescent="0.25">
      <c r="C93" s="145"/>
      <c r="D93" s="158"/>
      <c r="E93" s="118"/>
      <c r="F93" s="97">
        <f t="shared" si="4"/>
        <v>0</v>
      </c>
      <c r="G93" s="161"/>
      <c r="H93" s="146"/>
      <c r="I93" s="130" t="e">
        <f>VLOOKUP(H93,Presupuesto!$B$11:$C$565,2,0)</f>
        <v>#N/A</v>
      </c>
      <c r="J93" s="98" t="str">
        <f t="shared" si="5"/>
        <v>Posgrado</v>
      </c>
      <c r="K93" s="98" t="s">
        <v>401</v>
      </c>
      <c r="L93" s="98"/>
    </row>
    <row r="94" spans="3:12" x14ac:dyDescent="0.25">
      <c r="C94" s="145"/>
      <c r="D94" s="158"/>
      <c r="E94" s="118"/>
      <c r="F94" s="97">
        <f t="shared" si="4"/>
        <v>0</v>
      </c>
      <c r="G94" s="161"/>
      <c r="H94" s="146"/>
      <c r="I94" s="130" t="e">
        <f>VLOOKUP(H94,Presupuesto!$B$11:$C$565,2,0)</f>
        <v>#N/A</v>
      </c>
      <c r="J94" s="98" t="str">
        <f t="shared" si="5"/>
        <v>Posgrado</v>
      </c>
      <c r="K94" s="98" t="s">
        <v>410</v>
      </c>
      <c r="L94" s="98"/>
    </row>
    <row r="95" spans="3:12" x14ac:dyDescent="0.25">
      <c r="C95" s="145"/>
      <c r="D95" s="158"/>
      <c r="E95" s="118"/>
      <c r="F95" s="97">
        <f t="shared" si="4"/>
        <v>0</v>
      </c>
      <c r="G95" s="161"/>
      <c r="H95" s="146"/>
      <c r="I95" s="130" t="e">
        <f>VLOOKUP(H95,Presupuesto!$B$11:$C$565,2,0)</f>
        <v>#N/A</v>
      </c>
      <c r="J95" s="98" t="str">
        <f t="shared" si="5"/>
        <v>Posgrado</v>
      </c>
      <c r="K95" s="98" t="s">
        <v>410</v>
      </c>
      <c r="L95" s="98"/>
    </row>
    <row r="96" spans="3:12" x14ac:dyDescent="0.25">
      <c r="C96" s="145"/>
      <c r="D96" s="158"/>
      <c r="E96" s="118"/>
      <c r="F96" s="97">
        <f t="shared" si="4"/>
        <v>0</v>
      </c>
      <c r="G96" s="161"/>
      <c r="H96" s="146"/>
      <c r="I96" s="130" t="e">
        <f>VLOOKUP(H96,Presupuesto!$B$11:$C$565,2,0)</f>
        <v>#N/A</v>
      </c>
      <c r="J96" s="98" t="str">
        <f t="shared" si="5"/>
        <v>Posgrado</v>
      </c>
      <c r="K96" s="98" t="s">
        <v>410</v>
      </c>
      <c r="L96" s="98"/>
    </row>
    <row r="97" spans="3:12" ht="15.75" thickBot="1" x14ac:dyDescent="0.3">
      <c r="C97" s="147"/>
      <c r="D97" s="222"/>
      <c r="E97" s="103"/>
      <c r="F97" s="105">
        <f t="shared" si="4"/>
        <v>0</v>
      </c>
      <c r="G97" s="162"/>
      <c r="H97" s="148"/>
      <c r="I97" s="132" t="e">
        <f>VLOOKUP(H97,Presupuesto!$B$11:$C$565,2,0)</f>
        <v>#N/A</v>
      </c>
      <c r="J97" s="106" t="str">
        <f t="shared" si="5"/>
        <v>Posgrado</v>
      </c>
      <c r="K97" s="124" t="s">
        <v>392</v>
      </c>
      <c r="L97" s="106"/>
    </row>
    <row r="98" spans="3:12" x14ac:dyDescent="0.25">
      <c r="F98" s="90"/>
      <c r="G98" s="89"/>
      <c r="H98" s="90"/>
      <c r="I98" s="90"/>
    </row>
    <row r="99" spans="3:12" ht="15.75" thickBot="1" x14ac:dyDescent="0.3"/>
    <row r="100" spans="3:12" ht="15.75" thickBot="1" x14ac:dyDescent="0.3">
      <c r="C100" s="157" t="s">
        <v>53</v>
      </c>
      <c r="D100" s="372">
        <f>SUM(F107:F127)</f>
        <v>0</v>
      </c>
      <c r="F100" s="70"/>
      <c r="G100" s="79"/>
      <c r="H100" s="70"/>
      <c r="I100" s="70"/>
    </row>
    <row r="101" spans="3:12" x14ac:dyDescent="0.25">
      <c r="C101" s="70"/>
      <c r="D101" s="31"/>
      <c r="E101" s="93"/>
      <c r="F101" s="93"/>
      <c r="G101" s="93"/>
      <c r="H101" s="76"/>
      <c r="I101" s="76"/>
      <c r="J101" s="76"/>
      <c r="K101" s="112"/>
    </row>
    <row r="102" spans="3:12" ht="15.75" x14ac:dyDescent="0.25">
      <c r="C102" s="301" t="s">
        <v>390</v>
      </c>
      <c r="D102" s="368"/>
      <c r="E102" s="93"/>
      <c r="F102" s="93"/>
      <c r="G102" s="93"/>
      <c r="H102" s="76"/>
      <c r="I102" s="76"/>
      <c r="J102" s="76"/>
      <c r="K102" s="112"/>
    </row>
    <row r="103" spans="3:12" ht="18.75" x14ac:dyDescent="0.25">
      <c r="C103" s="210" t="e">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Graduados'!$F:$G,2,FALSE),IFERROR(VLOOKUP(D102,'11. Gestion Administrativa'!$F:$G,2,FALSE),IFERROR(VLOOKUP(D102,'13. Gestión Académica'!$F:$G,2,FALSE),IFERROR(VLOOKUP(D102,'9. Asegura. de la Calid. y M'!$F:$G,2,FALSE),IFERROR(VLOOKUP(D102,'6. Gestión del Conocimiento'!$F:$G,2,FALSE),IFERROR(VLOOKUP(D102,'15. Gobernabilidad y Proceso...'!$G:$H,2,FALSE),IFERROR(VLOOKUP(D102,'12. Gestión del Talento Humano'!$F:$G,2,FALSE),IFERROR(VLOOKUP(D102,'14. Internacional... de la E.S.'!$F:$G,2,FALSE),IFERROR(VLOOKUP(D102,'10. Posgrado'!$F:$G,2,FALSE),IFERROR(VLOOKUP(D102,'17. Gestión TIC'!$F:$G,2,FALSE),IFERROR(VLOOKUP(D102,'16. Desa. del Sistema Educ.Sup.'!$F:$G,2,FALSE),IFERROR(VLOOKUP(D102,'8. Cultura de Inno. Insti...'!$F:$G,2,FALSE),VLOOKUP(D102,'7. Lo Esencial de la Reforma U.'!$G:$H,2,0)))))))))))))))))</f>
        <v>#N/A</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9" t="s">
        <v>44</v>
      </c>
      <c r="D106" s="134" t="s">
        <v>55</v>
      </c>
      <c r="E106" s="136" t="s">
        <v>57</v>
      </c>
      <c r="F106" s="135" t="s">
        <v>27</v>
      </c>
      <c r="G106" s="133" t="s">
        <v>129</v>
      </c>
      <c r="H106" s="136" t="s">
        <v>46</v>
      </c>
      <c r="I106" s="133" t="s">
        <v>130</v>
      </c>
      <c r="J106" s="133" t="s">
        <v>408</v>
      </c>
      <c r="K106" s="133" t="s">
        <v>409</v>
      </c>
      <c r="L106" s="133" t="s">
        <v>119</v>
      </c>
    </row>
    <row r="107" spans="3:12" x14ac:dyDescent="0.25">
      <c r="C107" s="141"/>
      <c r="D107" s="158"/>
      <c r="E107" s="115"/>
      <c r="F107" s="97">
        <f t="shared" ref="F107:F127" si="6">D107*E107</f>
        <v>0</v>
      </c>
      <c r="G107" s="161"/>
      <c r="H107" s="142"/>
      <c r="I107" s="130" t="e">
        <f>VLOOKUP(H107,Presupuesto!$B$11:$C$565,2,0)</f>
        <v>#N/A</v>
      </c>
      <c r="J107" s="218" t="s">
        <v>1443</v>
      </c>
      <c r="K107" s="98" t="s">
        <v>392</v>
      </c>
      <c r="L107" s="98"/>
    </row>
    <row r="108" spans="3:12" x14ac:dyDescent="0.25">
      <c r="C108" s="141"/>
      <c r="D108" s="158"/>
      <c r="E108" s="123"/>
      <c r="F108" s="97">
        <f t="shared" si="6"/>
        <v>0</v>
      </c>
      <c r="G108" s="161"/>
      <c r="H108" s="142"/>
      <c r="I108" s="130" t="e">
        <f>VLOOKUP(H108,Presupuesto!$B$11:$C$565,2,0)</f>
        <v>#N/A</v>
      </c>
      <c r="J108" s="98" t="str">
        <f>$J$107</f>
        <v>Posgrado</v>
      </c>
      <c r="K108" s="98" t="s">
        <v>410</v>
      </c>
      <c r="L108" s="98"/>
    </row>
    <row r="109" spans="3:12" x14ac:dyDescent="0.25">
      <c r="C109" s="141"/>
      <c r="D109" s="158"/>
      <c r="E109" s="123"/>
      <c r="F109" s="97">
        <f t="shared" si="6"/>
        <v>0</v>
      </c>
      <c r="G109" s="161"/>
      <c r="H109" s="142"/>
      <c r="I109" s="130" t="e">
        <f>VLOOKUP(H109,Presupuesto!$B$11:$C$565,2,0)</f>
        <v>#N/A</v>
      </c>
      <c r="J109" s="98" t="str">
        <f t="shared" ref="J109:J127" si="7">$J$107</f>
        <v>Posgrado</v>
      </c>
      <c r="K109" s="98" t="s">
        <v>410</v>
      </c>
      <c r="L109" s="98"/>
    </row>
    <row r="110" spans="3:12" x14ac:dyDescent="0.25">
      <c r="C110" s="141"/>
      <c r="D110" s="158"/>
      <c r="E110" s="123"/>
      <c r="F110" s="97">
        <f t="shared" si="6"/>
        <v>0</v>
      </c>
      <c r="G110" s="161"/>
      <c r="H110" s="142"/>
      <c r="I110" s="130" t="e">
        <f>VLOOKUP(H110,Presupuesto!$B$11:$C$565,2,0)</f>
        <v>#N/A</v>
      </c>
      <c r="J110" s="98" t="str">
        <f t="shared" si="7"/>
        <v>Posgrado</v>
      </c>
      <c r="K110" s="98" t="s">
        <v>410</v>
      </c>
      <c r="L110" s="98"/>
    </row>
    <row r="111" spans="3:12" x14ac:dyDescent="0.25">
      <c r="C111" s="141"/>
      <c r="D111" s="158"/>
      <c r="E111" s="123"/>
      <c r="F111" s="97">
        <f t="shared" si="6"/>
        <v>0</v>
      </c>
      <c r="G111" s="161"/>
      <c r="H111" s="142"/>
      <c r="I111" s="130" t="e">
        <f>VLOOKUP(H111,Presupuesto!$B$11:$C$565,2,0)</f>
        <v>#N/A</v>
      </c>
      <c r="J111" s="98" t="str">
        <f t="shared" si="7"/>
        <v>Posgrado</v>
      </c>
      <c r="K111" s="98" t="s">
        <v>410</v>
      </c>
      <c r="L111" s="98"/>
    </row>
    <row r="112" spans="3:12" x14ac:dyDescent="0.25">
      <c r="C112" s="141"/>
      <c r="D112" s="158"/>
      <c r="E112" s="123"/>
      <c r="F112" s="97">
        <f t="shared" si="6"/>
        <v>0</v>
      </c>
      <c r="G112" s="161"/>
      <c r="H112" s="142"/>
      <c r="I112" s="130" t="e">
        <f>VLOOKUP(H112,Presupuesto!$B$11:$C$565,2,0)</f>
        <v>#N/A</v>
      </c>
      <c r="J112" s="98" t="str">
        <f t="shared" si="7"/>
        <v>Posgrado</v>
      </c>
      <c r="K112" s="98" t="s">
        <v>399</v>
      </c>
      <c r="L112" s="98"/>
    </row>
    <row r="113" spans="3:12" x14ac:dyDescent="0.25">
      <c r="C113" s="141"/>
      <c r="D113" s="158"/>
      <c r="E113" s="123"/>
      <c r="F113" s="97">
        <f t="shared" si="6"/>
        <v>0</v>
      </c>
      <c r="G113" s="161"/>
      <c r="H113" s="142"/>
      <c r="I113" s="130" t="e">
        <f>VLOOKUP(H113,Presupuesto!$B$11:$C$565,2,0)</f>
        <v>#N/A</v>
      </c>
      <c r="J113" s="98" t="str">
        <f t="shared" si="7"/>
        <v>Posgrado</v>
      </c>
      <c r="K113" s="98" t="s">
        <v>410</v>
      </c>
      <c r="L113" s="98"/>
    </row>
    <row r="114" spans="3:12" x14ac:dyDescent="0.25">
      <c r="C114" s="141"/>
      <c r="D114" s="158"/>
      <c r="E114" s="123"/>
      <c r="F114" s="97">
        <f t="shared" si="6"/>
        <v>0</v>
      </c>
      <c r="G114" s="161"/>
      <c r="H114" s="142"/>
      <c r="I114" s="130" t="e">
        <f>VLOOKUP(H114,Presupuesto!$B$11:$C$565,2,0)</f>
        <v>#N/A</v>
      </c>
      <c r="J114" s="98" t="str">
        <f t="shared" si="7"/>
        <v>Posgrado</v>
      </c>
      <c r="K114" s="98" t="s">
        <v>410</v>
      </c>
      <c r="L114" s="98"/>
    </row>
    <row r="115" spans="3:12" x14ac:dyDescent="0.25">
      <c r="C115" s="141"/>
      <c r="D115" s="158"/>
      <c r="E115" s="123"/>
      <c r="F115" s="97">
        <f t="shared" si="6"/>
        <v>0</v>
      </c>
      <c r="G115" s="161"/>
      <c r="H115" s="142"/>
      <c r="I115" s="130" t="e">
        <f>VLOOKUP(H115,Presupuesto!$B$11:$C$565,2,0)</f>
        <v>#N/A</v>
      </c>
      <c r="J115" s="98" t="str">
        <f t="shared" si="7"/>
        <v>Posgrado</v>
      </c>
      <c r="K115" s="98" t="s">
        <v>410</v>
      </c>
      <c r="L115" s="98"/>
    </row>
    <row r="116" spans="3:12" x14ac:dyDescent="0.25">
      <c r="C116" s="141"/>
      <c r="D116" s="158"/>
      <c r="E116" s="123"/>
      <c r="F116" s="97">
        <f t="shared" si="6"/>
        <v>0</v>
      </c>
      <c r="G116" s="161"/>
      <c r="H116" s="142"/>
      <c r="I116" s="130" t="e">
        <f>VLOOKUP(H116,Presupuesto!$B$11:$C$565,2,0)</f>
        <v>#N/A</v>
      </c>
      <c r="J116" s="98" t="str">
        <f t="shared" si="7"/>
        <v>Posgrado</v>
      </c>
      <c r="K116" s="98" t="s">
        <v>410</v>
      </c>
      <c r="L116" s="98"/>
    </row>
    <row r="117" spans="3:12" x14ac:dyDescent="0.25">
      <c r="C117" s="143"/>
      <c r="D117" s="158"/>
      <c r="E117" s="118"/>
      <c r="F117" s="97">
        <f t="shared" si="6"/>
        <v>0</v>
      </c>
      <c r="G117" s="161"/>
      <c r="H117" s="144"/>
      <c r="I117" s="130" t="e">
        <f>VLOOKUP(H117,Presupuesto!$B$11:$C$565,2,0)</f>
        <v>#N/A</v>
      </c>
      <c r="J117" s="98" t="str">
        <f t="shared" si="7"/>
        <v>Posgrado</v>
      </c>
      <c r="K117" s="98" t="s">
        <v>410</v>
      </c>
      <c r="L117" s="98"/>
    </row>
    <row r="118" spans="3:12" x14ac:dyDescent="0.25">
      <c r="C118" s="143"/>
      <c r="D118" s="158"/>
      <c r="E118" s="118"/>
      <c r="F118" s="97">
        <f t="shared" si="6"/>
        <v>0</v>
      </c>
      <c r="G118" s="161"/>
      <c r="H118" s="144"/>
      <c r="I118" s="130" t="e">
        <f>VLOOKUP(H118,Presupuesto!$B$11:$C$565,2,0)</f>
        <v>#N/A</v>
      </c>
      <c r="J118" s="98" t="str">
        <f t="shared" si="7"/>
        <v>Posgrado</v>
      </c>
      <c r="K118" s="98" t="s">
        <v>410</v>
      </c>
      <c r="L118" s="98"/>
    </row>
    <row r="119" spans="3:12" x14ac:dyDescent="0.25">
      <c r="C119" s="143"/>
      <c r="D119" s="158"/>
      <c r="E119" s="118"/>
      <c r="F119" s="97">
        <f t="shared" si="6"/>
        <v>0</v>
      </c>
      <c r="G119" s="161"/>
      <c r="H119" s="144"/>
      <c r="I119" s="130" t="e">
        <f>VLOOKUP(H119,Presupuesto!$B$11:$C$565,2,0)</f>
        <v>#N/A</v>
      </c>
      <c r="J119" s="98" t="str">
        <f t="shared" si="7"/>
        <v>Posgrado</v>
      </c>
      <c r="K119" s="98" t="s">
        <v>410</v>
      </c>
      <c r="L119" s="98"/>
    </row>
    <row r="120" spans="3:12" x14ac:dyDescent="0.25">
      <c r="C120" s="143"/>
      <c r="D120" s="158"/>
      <c r="E120" s="118"/>
      <c r="F120" s="97">
        <f t="shared" si="6"/>
        <v>0</v>
      </c>
      <c r="G120" s="161"/>
      <c r="H120" s="144"/>
      <c r="I120" s="130" t="e">
        <f>VLOOKUP(H120,Presupuesto!$B$11:$C$565,2,0)</f>
        <v>#N/A</v>
      </c>
      <c r="J120" s="98" t="str">
        <f t="shared" si="7"/>
        <v>Posgrado</v>
      </c>
      <c r="K120" s="98" t="s">
        <v>410</v>
      </c>
      <c r="L120" s="98"/>
    </row>
    <row r="121" spans="3:12" x14ac:dyDescent="0.25">
      <c r="C121" s="143"/>
      <c r="D121" s="158"/>
      <c r="E121" s="118"/>
      <c r="F121" s="97">
        <f t="shared" si="6"/>
        <v>0</v>
      </c>
      <c r="G121" s="161"/>
      <c r="H121" s="144"/>
      <c r="I121" s="130" t="e">
        <f>VLOOKUP(H121,Presupuesto!$B$11:$C$565,2,0)</f>
        <v>#N/A</v>
      </c>
      <c r="J121" s="98" t="str">
        <f t="shared" si="7"/>
        <v>Posgrado</v>
      </c>
      <c r="K121" s="98" t="s">
        <v>410</v>
      </c>
      <c r="L121" s="98"/>
    </row>
    <row r="122" spans="3:12" x14ac:dyDescent="0.25">
      <c r="C122" s="143"/>
      <c r="D122" s="158"/>
      <c r="E122" s="118"/>
      <c r="F122" s="97">
        <f t="shared" si="6"/>
        <v>0</v>
      </c>
      <c r="G122" s="161"/>
      <c r="H122" s="144"/>
      <c r="I122" s="130" t="e">
        <f>VLOOKUP(H122,Presupuesto!$B$11:$C$565,2,0)</f>
        <v>#N/A</v>
      </c>
      <c r="J122" s="98" t="str">
        <f t="shared" si="7"/>
        <v>Posgrado</v>
      </c>
      <c r="K122" s="98" t="s">
        <v>410</v>
      </c>
      <c r="L122" s="98"/>
    </row>
    <row r="123" spans="3:12" x14ac:dyDescent="0.25">
      <c r="C123" s="145"/>
      <c r="D123" s="158"/>
      <c r="E123" s="118"/>
      <c r="F123" s="97">
        <f t="shared" si="6"/>
        <v>0</v>
      </c>
      <c r="G123" s="161"/>
      <c r="H123" s="146"/>
      <c r="I123" s="130" t="e">
        <f>VLOOKUP(H123,Presupuesto!$B$11:$C$565,2,0)</f>
        <v>#N/A</v>
      </c>
      <c r="J123" s="98" t="str">
        <f t="shared" si="7"/>
        <v>Posgrado</v>
      </c>
      <c r="K123" s="98" t="s">
        <v>401</v>
      </c>
      <c r="L123" s="98"/>
    </row>
    <row r="124" spans="3:12" x14ac:dyDescent="0.25">
      <c r="C124" s="145"/>
      <c r="D124" s="158"/>
      <c r="E124" s="118"/>
      <c r="F124" s="97">
        <f t="shared" si="6"/>
        <v>0</v>
      </c>
      <c r="G124" s="161"/>
      <c r="H124" s="146"/>
      <c r="I124" s="130" t="e">
        <f>VLOOKUP(H124,Presupuesto!$B$11:$C$565,2,0)</f>
        <v>#N/A</v>
      </c>
      <c r="J124" s="98" t="str">
        <f t="shared" si="7"/>
        <v>Posgrado</v>
      </c>
      <c r="K124" s="98" t="s">
        <v>410</v>
      </c>
      <c r="L124" s="98"/>
    </row>
    <row r="125" spans="3:12" x14ac:dyDescent="0.25">
      <c r="C125" s="145"/>
      <c r="D125" s="158"/>
      <c r="E125" s="118"/>
      <c r="F125" s="97">
        <f t="shared" si="6"/>
        <v>0</v>
      </c>
      <c r="G125" s="161"/>
      <c r="H125" s="146"/>
      <c r="I125" s="130" t="e">
        <f>VLOOKUP(H125,Presupuesto!$B$11:$C$565,2,0)</f>
        <v>#N/A</v>
      </c>
      <c r="J125" s="98" t="str">
        <f t="shared" si="7"/>
        <v>Posgrado</v>
      </c>
      <c r="K125" s="98" t="s">
        <v>410</v>
      </c>
      <c r="L125" s="98"/>
    </row>
    <row r="126" spans="3:12" x14ac:dyDescent="0.25">
      <c r="C126" s="145"/>
      <c r="D126" s="158"/>
      <c r="E126" s="118"/>
      <c r="F126" s="97">
        <f t="shared" si="6"/>
        <v>0</v>
      </c>
      <c r="G126" s="161"/>
      <c r="H126" s="146"/>
      <c r="I126" s="130" t="e">
        <f>VLOOKUP(H126,Presupuesto!$B$11:$C$565,2,0)</f>
        <v>#N/A</v>
      </c>
      <c r="J126" s="98" t="str">
        <f t="shared" si="7"/>
        <v>Posgrado</v>
      </c>
      <c r="K126" s="98" t="s">
        <v>410</v>
      </c>
      <c r="L126" s="98"/>
    </row>
    <row r="127" spans="3:12" ht="15.75" thickBot="1" x14ac:dyDescent="0.3">
      <c r="C127" s="147"/>
      <c r="D127" s="222"/>
      <c r="E127" s="103"/>
      <c r="F127" s="105">
        <f t="shared" si="6"/>
        <v>0</v>
      </c>
      <c r="G127" s="162"/>
      <c r="H127" s="148"/>
      <c r="I127" s="132" t="e">
        <f>VLOOKUP(H127,Presupuesto!$B$11:$C$565,2,0)</f>
        <v>#N/A</v>
      </c>
      <c r="J127" s="106" t="str">
        <f t="shared" si="7"/>
        <v>Posgrado</v>
      </c>
      <c r="K127" s="124" t="s">
        <v>392</v>
      </c>
      <c r="L127" s="106"/>
    </row>
    <row r="129" spans="3:12" ht="15.75" thickBot="1" x14ac:dyDescent="0.3"/>
    <row r="130" spans="3:12" ht="15.75" thickBot="1" x14ac:dyDescent="0.3">
      <c r="C130" s="157" t="s">
        <v>53</v>
      </c>
      <c r="D130" s="372">
        <f>SUM(F137:F157)</f>
        <v>0</v>
      </c>
      <c r="F130" s="70"/>
      <c r="G130" s="79"/>
      <c r="H130" s="70"/>
      <c r="I130" s="70"/>
    </row>
    <row r="131" spans="3:12" x14ac:dyDescent="0.25">
      <c r="C131" s="70"/>
      <c r="D131" s="31"/>
      <c r="E131" s="93"/>
      <c r="F131" s="93"/>
      <c r="G131" s="93"/>
      <c r="H131" s="76"/>
      <c r="I131" s="76"/>
      <c r="J131" s="76"/>
      <c r="K131" s="112"/>
    </row>
    <row r="132" spans="3:12" ht="15.75" x14ac:dyDescent="0.25">
      <c r="C132" s="301" t="s">
        <v>390</v>
      </c>
      <c r="D132" s="368"/>
      <c r="E132" s="93"/>
      <c r="F132" s="93"/>
      <c r="G132" s="93"/>
      <c r="H132" s="76"/>
      <c r="I132" s="76"/>
      <c r="J132" s="76"/>
      <c r="K132" s="112"/>
    </row>
    <row r="133" spans="3:12" ht="18.75" x14ac:dyDescent="0.25">
      <c r="C133" s="210" t="e">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Graduados'!$F:$G,2,FALSE),IFERROR(VLOOKUP(D132,'11. Gestion Administrativa'!$F:$G,2,FALSE),IFERROR(VLOOKUP(D132,'13. Gestión Académica'!$F:$G,2,FALSE),IFERROR(VLOOKUP(D132,'9. Asegura. de la Calid. y M'!$F:$G,2,FALSE),IFERROR(VLOOKUP(D132,'6. Gestión del Conocimiento'!$F:$G,2,FALSE),IFERROR(VLOOKUP(D132,'15. Gobernabilidad y Proceso...'!$G:$H,2,FALSE),IFERROR(VLOOKUP(D132,'12. Gestión del Talento Humano'!$F:$G,2,FALSE),IFERROR(VLOOKUP(D132,'14. Internacional... de la E.S.'!$F:$G,2,FALSE),IFERROR(VLOOKUP(D132,'10. Posgrado'!$F:$G,2,FALSE),IFERROR(VLOOKUP(D132,'17. Gestión TIC'!$F:$G,2,FALSE),IFERROR(VLOOKUP(D132,'16. Desa. del Sistema Educ.Sup.'!$F:$G,2,FALSE),IFERROR(VLOOKUP(D132,'8. Cultura de Inno. Insti...'!$F:$G,2,FALSE),VLOOKUP(D132,'7. Lo Esencial de la Reforma U.'!$G:$H,2,0)))))))))))))))))</f>
        <v>#N/A</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9" t="s">
        <v>44</v>
      </c>
      <c r="D136" s="134" t="s">
        <v>55</v>
      </c>
      <c r="E136" s="136" t="s">
        <v>57</v>
      </c>
      <c r="F136" s="135" t="s">
        <v>27</v>
      </c>
      <c r="G136" s="133" t="s">
        <v>129</v>
      </c>
      <c r="H136" s="136" t="s">
        <v>46</v>
      </c>
      <c r="I136" s="133" t="s">
        <v>130</v>
      </c>
      <c r="J136" s="133" t="s">
        <v>408</v>
      </c>
      <c r="K136" s="133" t="s">
        <v>409</v>
      </c>
      <c r="L136" s="133" t="s">
        <v>119</v>
      </c>
    </row>
    <row r="137" spans="3:12" x14ac:dyDescent="0.25">
      <c r="C137" s="141"/>
      <c r="D137" s="158"/>
      <c r="E137" s="115"/>
      <c r="F137" s="97">
        <f t="shared" ref="F137:F157" si="8">D137*E137</f>
        <v>0</v>
      </c>
      <c r="G137" s="161"/>
      <c r="H137" s="142"/>
      <c r="I137" s="130" t="e">
        <f>VLOOKUP(H137,Presupuesto!$B$11:$C$565,2,0)</f>
        <v>#N/A</v>
      </c>
      <c r="J137" s="218" t="s">
        <v>1443</v>
      </c>
      <c r="K137" s="98" t="s">
        <v>392</v>
      </c>
      <c r="L137" s="98"/>
    </row>
    <row r="138" spans="3:12" x14ac:dyDescent="0.25">
      <c r="C138" s="141"/>
      <c r="D138" s="158"/>
      <c r="E138" s="123"/>
      <c r="F138" s="97">
        <f t="shared" si="8"/>
        <v>0</v>
      </c>
      <c r="G138" s="161"/>
      <c r="H138" s="142"/>
      <c r="I138" s="130" t="e">
        <f>VLOOKUP(H138,Presupuesto!$B$11:$C$565,2,0)</f>
        <v>#N/A</v>
      </c>
      <c r="J138" s="98" t="str">
        <f>$J$137</f>
        <v>Posgrado</v>
      </c>
      <c r="K138" s="98" t="s">
        <v>410</v>
      </c>
      <c r="L138" s="98"/>
    </row>
    <row r="139" spans="3:12" x14ac:dyDescent="0.25">
      <c r="C139" s="141"/>
      <c r="D139" s="158"/>
      <c r="E139" s="123"/>
      <c r="F139" s="97">
        <f t="shared" si="8"/>
        <v>0</v>
      </c>
      <c r="G139" s="161"/>
      <c r="H139" s="142"/>
      <c r="I139" s="130" t="e">
        <f>VLOOKUP(H139,Presupuesto!$B$11:$C$565,2,0)</f>
        <v>#N/A</v>
      </c>
      <c r="J139" s="98" t="str">
        <f t="shared" ref="J139:J157" si="9">$J$137</f>
        <v>Posgrado</v>
      </c>
      <c r="K139" s="98" t="s">
        <v>410</v>
      </c>
      <c r="L139" s="98"/>
    </row>
    <row r="140" spans="3:12" x14ac:dyDescent="0.25">
      <c r="C140" s="141"/>
      <c r="D140" s="158"/>
      <c r="E140" s="123"/>
      <c r="F140" s="97">
        <f t="shared" si="8"/>
        <v>0</v>
      </c>
      <c r="G140" s="161"/>
      <c r="H140" s="142"/>
      <c r="I140" s="130" t="e">
        <f>VLOOKUP(H140,Presupuesto!$B$11:$C$565,2,0)</f>
        <v>#N/A</v>
      </c>
      <c r="J140" s="98" t="str">
        <f t="shared" si="9"/>
        <v>Posgrado</v>
      </c>
      <c r="K140" s="98" t="s">
        <v>410</v>
      </c>
      <c r="L140" s="98"/>
    </row>
    <row r="141" spans="3:12" x14ac:dyDescent="0.25">
      <c r="C141" s="141"/>
      <c r="D141" s="158"/>
      <c r="E141" s="123"/>
      <c r="F141" s="97">
        <f t="shared" si="8"/>
        <v>0</v>
      </c>
      <c r="G141" s="161"/>
      <c r="H141" s="142"/>
      <c r="I141" s="130" t="e">
        <f>VLOOKUP(H141,Presupuesto!$B$11:$C$565,2,0)</f>
        <v>#N/A</v>
      </c>
      <c r="J141" s="98" t="str">
        <f t="shared" si="9"/>
        <v>Posgrado</v>
      </c>
      <c r="K141" s="98" t="s">
        <v>410</v>
      </c>
      <c r="L141" s="98"/>
    </row>
    <row r="142" spans="3:12" x14ac:dyDescent="0.25">
      <c r="C142" s="141"/>
      <c r="D142" s="158"/>
      <c r="E142" s="123"/>
      <c r="F142" s="97">
        <f t="shared" si="8"/>
        <v>0</v>
      </c>
      <c r="G142" s="161"/>
      <c r="H142" s="142"/>
      <c r="I142" s="130" t="e">
        <f>VLOOKUP(H142,Presupuesto!$B$11:$C$565,2,0)</f>
        <v>#N/A</v>
      </c>
      <c r="J142" s="98" t="str">
        <f t="shared" si="9"/>
        <v>Posgrado</v>
      </c>
      <c r="K142" s="98" t="s">
        <v>399</v>
      </c>
      <c r="L142" s="98"/>
    </row>
    <row r="143" spans="3:12" x14ac:dyDescent="0.25">
      <c r="C143" s="141"/>
      <c r="D143" s="158"/>
      <c r="E143" s="123"/>
      <c r="F143" s="97">
        <f t="shared" si="8"/>
        <v>0</v>
      </c>
      <c r="G143" s="161"/>
      <c r="H143" s="142"/>
      <c r="I143" s="130" t="e">
        <f>VLOOKUP(H143,Presupuesto!$B$11:$C$565,2,0)</f>
        <v>#N/A</v>
      </c>
      <c r="J143" s="98" t="str">
        <f t="shared" si="9"/>
        <v>Posgrado</v>
      </c>
      <c r="K143" s="98" t="s">
        <v>410</v>
      </c>
      <c r="L143" s="98"/>
    </row>
    <row r="144" spans="3:12" x14ac:dyDescent="0.25">
      <c r="C144" s="141"/>
      <c r="D144" s="158"/>
      <c r="E144" s="123"/>
      <c r="F144" s="97">
        <f t="shared" si="8"/>
        <v>0</v>
      </c>
      <c r="G144" s="161"/>
      <c r="H144" s="142"/>
      <c r="I144" s="130" t="e">
        <f>VLOOKUP(H144,Presupuesto!$B$11:$C$565,2,0)</f>
        <v>#N/A</v>
      </c>
      <c r="J144" s="98" t="str">
        <f t="shared" si="9"/>
        <v>Posgrado</v>
      </c>
      <c r="K144" s="98" t="s">
        <v>410</v>
      </c>
      <c r="L144" s="98"/>
    </row>
    <row r="145" spans="3:12" x14ac:dyDescent="0.25">
      <c r="C145" s="141"/>
      <c r="D145" s="158"/>
      <c r="E145" s="123"/>
      <c r="F145" s="97">
        <f t="shared" si="8"/>
        <v>0</v>
      </c>
      <c r="G145" s="161"/>
      <c r="H145" s="142"/>
      <c r="I145" s="130" t="e">
        <f>VLOOKUP(H145,Presupuesto!$B$11:$C$565,2,0)</f>
        <v>#N/A</v>
      </c>
      <c r="J145" s="98" t="str">
        <f t="shared" si="9"/>
        <v>Posgrado</v>
      </c>
      <c r="K145" s="98" t="s">
        <v>410</v>
      </c>
      <c r="L145" s="98"/>
    </row>
    <row r="146" spans="3:12" x14ac:dyDescent="0.25">
      <c r="C146" s="141"/>
      <c r="D146" s="158"/>
      <c r="E146" s="123"/>
      <c r="F146" s="97">
        <f t="shared" si="8"/>
        <v>0</v>
      </c>
      <c r="G146" s="161"/>
      <c r="H146" s="142"/>
      <c r="I146" s="130" t="e">
        <f>VLOOKUP(H146,Presupuesto!$B$11:$C$565,2,0)</f>
        <v>#N/A</v>
      </c>
      <c r="J146" s="98" t="str">
        <f t="shared" si="9"/>
        <v>Posgrado</v>
      </c>
      <c r="K146" s="98" t="s">
        <v>410</v>
      </c>
      <c r="L146" s="98"/>
    </row>
    <row r="147" spans="3:12" x14ac:dyDescent="0.25">
      <c r="C147" s="143"/>
      <c r="D147" s="158"/>
      <c r="E147" s="118"/>
      <c r="F147" s="97">
        <f t="shared" si="8"/>
        <v>0</v>
      </c>
      <c r="G147" s="161"/>
      <c r="H147" s="144"/>
      <c r="I147" s="130" t="e">
        <f>VLOOKUP(H147,Presupuesto!$B$11:$C$565,2,0)</f>
        <v>#N/A</v>
      </c>
      <c r="J147" s="98" t="str">
        <f t="shared" si="9"/>
        <v>Posgrado</v>
      </c>
      <c r="K147" s="98" t="s">
        <v>410</v>
      </c>
      <c r="L147" s="98"/>
    </row>
    <row r="148" spans="3:12" x14ac:dyDescent="0.25">
      <c r="C148" s="143"/>
      <c r="D148" s="158"/>
      <c r="E148" s="118"/>
      <c r="F148" s="97">
        <f t="shared" si="8"/>
        <v>0</v>
      </c>
      <c r="G148" s="161"/>
      <c r="H148" s="144"/>
      <c r="I148" s="130" t="e">
        <f>VLOOKUP(H148,Presupuesto!$B$11:$C$565,2,0)</f>
        <v>#N/A</v>
      </c>
      <c r="J148" s="98" t="str">
        <f t="shared" si="9"/>
        <v>Posgrado</v>
      </c>
      <c r="K148" s="98" t="s">
        <v>410</v>
      </c>
      <c r="L148" s="98"/>
    </row>
    <row r="149" spans="3:12" x14ac:dyDescent="0.25">
      <c r="C149" s="143"/>
      <c r="D149" s="158"/>
      <c r="E149" s="118"/>
      <c r="F149" s="97">
        <f t="shared" si="8"/>
        <v>0</v>
      </c>
      <c r="G149" s="161"/>
      <c r="H149" s="144"/>
      <c r="I149" s="130" t="e">
        <f>VLOOKUP(H149,Presupuesto!$B$11:$C$565,2,0)</f>
        <v>#N/A</v>
      </c>
      <c r="J149" s="98" t="str">
        <f t="shared" si="9"/>
        <v>Posgrado</v>
      </c>
      <c r="K149" s="98" t="s">
        <v>410</v>
      </c>
      <c r="L149" s="98"/>
    </row>
    <row r="150" spans="3:12" x14ac:dyDescent="0.25">
      <c r="C150" s="143"/>
      <c r="D150" s="158"/>
      <c r="E150" s="118"/>
      <c r="F150" s="97">
        <f t="shared" si="8"/>
        <v>0</v>
      </c>
      <c r="G150" s="161"/>
      <c r="H150" s="144"/>
      <c r="I150" s="130" t="e">
        <f>VLOOKUP(H150,Presupuesto!$B$11:$C$565,2,0)</f>
        <v>#N/A</v>
      </c>
      <c r="J150" s="98" t="str">
        <f t="shared" si="9"/>
        <v>Posgrado</v>
      </c>
      <c r="K150" s="98" t="s">
        <v>410</v>
      </c>
      <c r="L150" s="98"/>
    </row>
    <row r="151" spans="3:12" x14ac:dyDescent="0.25">
      <c r="C151" s="143"/>
      <c r="D151" s="158"/>
      <c r="E151" s="118"/>
      <c r="F151" s="97">
        <f t="shared" si="8"/>
        <v>0</v>
      </c>
      <c r="G151" s="161"/>
      <c r="H151" s="144"/>
      <c r="I151" s="130" t="e">
        <f>VLOOKUP(H151,Presupuesto!$B$11:$C$565,2,0)</f>
        <v>#N/A</v>
      </c>
      <c r="J151" s="98" t="str">
        <f t="shared" si="9"/>
        <v>Posgrado</v>
      </c>
      <c r="K151" s="98" t="s">
        <v>410</v>
      </c>
      <c r="L151" s="98"/>
    </row>
    <row r="152" spans="3:12" x14ac:dyDescent="0.25">
      <c r="C152" s="143"/>
      <c r="D152" s="158"/>
      <c r="E152" s="118"/>
      <c r="F152" s="97">
        <f t="shared" si="8"/>
        <v>0</v>
      </c>
      <c r="G152" s="161"/>
      <c r="H152" s="144"/>
      <c r="I152" s="130" t="e">
        <f>VLOOKUP(H152,Presupuesto!$B$11:$C$565,2,0)</f>
        <v>#N/A</v>
      </c>
      <c r="J152" s="98" t="str">
        <f t="shared" si="9"/>
        <v>Posgrado</v>
      </c>
      <c r="K152" s="98" t="s">
        <v>410</v>
      </c>
      <c r="L152" s="98"/>
    </row>
    <row r="153" spans="3:12" x14ac:dyDescent="0.25">
      <c r="C153" s="145"/>
      <c r="D153" s="158"/>
      <c r="E153" s="118"/>
      <c r="F153" s="97">
        <f t="shared" si="8"/>
        <v>0</v>
      </c>
      <c r="G153" s="161"/>
      <c r="H153" s="146"/>
      <c r="I153" s="130" t="e">
        <f>VLOOKUP(H153,Presupuesto!$B$11:$C$565,2,0)</f>
        <v>#N/A</v>
      </c>
      <c r="J153" s="98" t="str">
        <f t="shared" si="9"/>
        <v>Posgrado</v>
      </c>
      <c r="K153" s="98" t="s">
        <v>401</v>
      </c>
      <c r="L153" s="98"/>
    </row>
    <row r="154" spans="3:12" x14ac:dyDescent="0.25">
      <c r="C154" s="145"/>
      <c r="D154" s="158"/>
      <c r="E154" s="118"/>
      <c r="F154" s="97">
        <f t="shared" si="8"/>
        <v>0</v>
      </c>
      <c r="G154" s="161"/>
      <c r="H154" s="146"/>
      <c r="I154" s="130" t="e">
        <f>VLOOKUP(H154,Presupuesto!$B$11:$C$565,2,0)</f>
        <v>#N/A</v>
      </c>
      <c r="J154" s="98" t="str">
        <f t="shared" si="9"/>
        <v>Posgrado</v>
      </c>
      <c r="K154" s="98" t="s">
        <v>410</v>
      </c>
      <c r="L154" s="98"/>
    </row>
    <row r="155" spans="3:12" x14ac:dyDescent="0.25">
      <c r="C155" s="145"/>
      <c r="D155" s="158"/>
      <c r="E155" s="118"/>
      <c r="F155" s="97">
        <f t="shared" si="8"/>
        <v>0</v>
      </c>
      <c r="G155" s="161"/>
      <c r="H155" s="146"/>
      <c r="I155" s="130" t="e">
        <f>VLOOKUP(H155,Presupuesto!$B$11:$C$565,2,0)</f>
        <v>#N/A</v>
      </c>
      <c r="J155" s="98" t="str">
        <f t="shared" si="9"/>
        <v>Posgrado</v>
      </c>
      <c r="K155" s="98" t="s">
        <v>410</v>
      </c>
      <c r="L155" s="98"/>
    </row>
    <row r="156" spans="3:12" x14ac:dyDescent="0.25">
      <c r="C156" s="145"/>
      <c r="D156" s="158"/>
      <c r="E156" s="118"/>
      <c r="F156" s="97">
        <f t="shared" si="8"/>
        <v>0</v>
      </c>
      <c r="G156" s="161"/>
      <c r="H156" s="146"/>
      <c r="I156" s="130" t="e">
        <f>VLOOKUP(H156,Presupuesto!$B$11:$C$565,2,0)</f>
        <v>#N/A</v>
      </c>
      <c r="J156" s="98" t="str">
        <f t="shared" si="9"/>
        <v>Posgrado</v>
      </c>
      <c r="K156" s="98" t="s">
        <v>410</v>
      </c>
      <c r="L156" s="98"/>
    </row>
    <row r="157" spans="3:12" ht="15.75" thickBot="1" x14ac:dyDescent="0.3">
      <c r="C157" s="147"/>
      <c r="D157" s="222"/>
      <c r="E157" s="103"/>
      <c r="F157" s="105">
        <f t="shared" si="8"/>
        <v>0</v>
      </c>
      <c r="G157" s="162"/>
      <c r="H157" s="148"/>
      <c r="I157" s="132" t="e">
        <f>VLOOKUP(H157,Presupuesto!$B$11:$C$565,2,0)</f>
        <v>#N/A</v>
      </c>
      <c r="J157" s="106" t="str">
        <f t="shared" si="9"/>
        <v>Posgrado</v>
      </c>
      <c r="K157" s="124" t="s">
        <v>392</v>
      </c>
      <c r="L157" s="106"/>
    </row>
    <row r="158" spans="3:12" x14ac:dyDescent="0.25">
      <c r="F158" s="90"/>
      <c r="G158" s="89"/>
      <c r="H158" s="90"/>
      <c r="I158" s="90"/>
    </row>
    <row r="159" spans="3:12" ht="15.75" thickBot="1" x14ac:dyDescent="0.3"/>
    <row r="160" spans="3:12" ht="15.75" thickBot="1" x14ac:dyDescent="0.3">
      <c r="C160" s="157" t="s">
        <v>53</v>
      </c>
      <c r="D160" s="372">
        <f>SUM(F167:F187)</f>
        <v>0</v>
      </c>
      <c r="F160" s="70"/>
      <c r="G160" s="79"/>
      <c r="H160" s="70"/>
      <c r="I160" s="70"/>
    </row>
    <row r="161" spans="3:12" x14ac:dyDescent="0.25">
      <c r="C161" s="70"/>
      <c r="D161" s="31"/>
      <c r="E161" s="93"/>
      <c r="F161" s="93"/>
      <c r="G161" s="93"/>
      <c r="H161" s="76"/>
      <c r="I161" s="76"/>
      <c r="J161" s="76"/>
      <c r="K161" s="112"/>
    </row>
    <row r="162" spans="3:12" ht="15.75" x14ac:dyDescent="0.25">
      <c r="C162" s="301" t="s">
        <v>390</v>
      </c>
      <c r="D162" s="368"/>
      <c r="E162" s="93"/>
      <c r="F162" s="93"/>
      <c r="G162" s="93"/>
      <c r="H162" s="76"/>
      <c r="I162" s="76"/>
      <c r="J162" s="76"/>
      <c r="K162" s="112"/>
    </row>
    <row r="163" spans="3:12" ht="18.75" x14ac:dyDescent="0.25">
      <c r="C163" s="210" t="e">
        <f>IFERROR(VLOOKUP(D162,'1. Desarrollo e Innov. Curricu.'!$F:$G,2,FALSE),IFERROR(VLOOKUP(D162,'2. Investigación Científica'!$F:$G,2,FALSE),IFERROR(VLOOKUP(D162,'3. Vinculación Univ. Sociedad'!$F:$G,2,FALSE),IFERROR(VLOOKUP(D162,'4. Docencia y Profesorado Univ.'!$F:$G,2,FALSE),IFERROR(VLOOKUP(D162,'5. Estudiantes y Graduados'!$F:$G,2,FALSE),IFERROR(VLOOKUP(D162,'11. Gestion Administrativa'!$F:$G,2,FALSE),IFERROR(VLOOKUP(D162,'13. Gestión Académica'!$F:$G,2,FALSE),IFERROR(VLOOKUP(D162,'9. Asegura. de la Calid. y M'!$F:$G,2,FALSE),IFERROR(VLOOKUP(D162,'6. Gestión del Conocimiento'!$F:$G,2,FALSE),IFERROR(VLOOKUP(D162,'15. Gobernabilidad y Proceso...'!$G:$H,2,FALSE),IFERROR(VLOOKUP(D162,'12. Gestión del Talento Humano'!$F:$G,2,FALSE),IFERROR(VLOOKUP(D162,'14. Internacional... de la E.S.'!$F:$G,2,FALSE),IFERROR(VLOOKUP(D162,'10. Posgrado'!$F:$G,2,FALSE),IFERROR(VLOOKUP(D162,'17. Gestión TIC'!$F:$G,2,FALSE),IFERROR(VLOOKUP(D162,'16. Desa. del Sistema Educ.Sup.'!$F:$G,2,FALSE),IFERROR(VLOOKUP(D162,'8. Cultura de Inno. Insti...'!$F:$G,2,FALSE),VLOOKUP(D162,'7. Lo Esencial de la Reforma U.'!$G:$H,2,0)))))))))))))))))</f>
        <v>#N/A</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9" t="s">
        <v>44</v>
      </c>
      <c r="D166" s="134" t="s">
        <v>55</v>
      </c>
      <c r="E166" s="136" t="s">
        <v>57</v>
      </c>
      <c r="F166" s="135" t="s">
        <v>27</v>
      </c>
      <c r="G166" s="133" t="s">
        <v>129</v>
      </c>
      <c r="H166" s="136" t="s">
        <v>46</v>
      </c>
      <c r="I166" s="133" t="s">
        <v>130</v>
      </c>
      <c r="J166" s="133" t="s">
        <v>408</v>
      </c>
      <c r="K166" s="133" t="s">
        <v>409</v>
      </c>
      <c r="L166" s="133" t="s">
        <v>119</v>
      </c>
    </row>
    <row r="167" spans="3:12" x14ac:dyDescent="0.25">
      <c r="C167" s="141"/>
      <c r="D167" s="158"/>
      <c r="E167" s="115"/>
      <c r="F167" s="97">
        <f t="shared" ref="F167:F187" si="10">D167*E167</f>
        <v>0</v>
      </c>
      <c r="G167" s="161"/>
      <c r="H167" s="142"/>
      <c r="I167" s="130" t="e">
        <f>VLOOKUP(H167,Presupuesto!$B$11:$C$565,2,0)</f>
        <v>#N/A</v>
      </c>
      <c r="J167" s="218" t="s">
        <v>1443</v>
      </c>
      <c r="K167" s="98" t="s">
        <v>392</v>
      </c>
      <c r="L167" s="98"/>
    </row>
    <row r="168" spans="3:12" x14ac:dyDescent="0.25">
      <c r="C168" s="141"/>
      <c r="D168" s="158"/>
      <c r="E168" s="123"/>
      <c r="F168" s="97">
        <f t="shared" si="10"/>
        <v>0</v>
      </c>
      <c r="G168" s="161"/>
      <c r="H168" s="142"/>
      <c r="I168" s="130" t="e">
        <f>VLOOKUP(H168,Presupuesto!$B$11:$C$565,2,0)</f>
        <v>#N/A</v>
      </c>
      <c r="J168" s="98" t="str">
        <f>$J$167</f>
        <v>Posgrado</v>
      </c>
      <c r="K168" s="98" t="s">
        <v>410</v>
      </c>
      <c r="L168" s="98"/>
    </row>
    <row r="169" spans="3:12" x14ac:dyDescent="0.25">
      <c r="C169" s="141"/>
      <c r="D169" s="158"/>
      <c r="E169" s="123"/>
      <c r="F169" s="97">
        <f t="shared" si="10"/>
        <v>0</v>
      </c>
      <c r="G169" s="161"/>
      <c r="H169" s="142"/>
      <c r="I169" s="130" t="e">
        <f>VLOOKUP(H169,Presupuesto!$B$11:$C$565,2,0)</f>
        <v>#N/A</v>
      </c>
      <c r="J169" s="98" t="str">
        <f t="shared" ref="J169:J187" si="11">$J$167</f>
        <v>Posgrado</v>
      </c>
      <c r="K169" s="98" t="s">
        <v>410</v>
      </c>
      <c r="L169" s="98"/>
    </row>
    <row r="170" spans="3:12" x14ac:dyDescent="0.25">
      <c r="C170" s="141"/>
      <c r="D170" s="158"/>
      <c r="E170" s="123"/>
      <c r="F170" s="97">
        <f t="shared" si="10"/>
        <v>0</v>
      </c>
      <c r="G170" s="161"/>
      <c r="H170" s="142"/>
      <c r="I170" s="130" t="e">
        <f>VLOOKUP(H170,Presupuesto!$B$11:$C$565,2,0)</f>
        <v>#N/A</v>
      </c>
      <c r="J170" s="98" t="str">
        <f t="shared" si="11"/>
        <v>Posgrado</v>
      </c>
      <c r="K170" s="98" t="s">
        <v>410</v>
      </c>
      <c r="L170" s="98"/>
    </row>
    <row r="171" spans="3:12" x14ac:dyDescent="0.25">
      <c r="C171" s="141"/>
      <c r="D171" s="158"/>
      <c r="E171" s="123"/>
      <c r="F171" s="97">
        <f t="shared" si="10"/>
        <v>0</v>
      </c>
      <c r="G171" s="161"/>
      <c r="H171" s="142"/>
      <c r="I171" s="130" t="e">
        <f>VLOOKUP(H171,Presupuesto!$B$11:$C$565,2,0)</f>
        <v>#N/A</v>
      </c>
      <c r="J171" s="98" t="str">
        <f t="shared" si="11"/>
        <v>Posgrado</v>
      </c>
      <c r="K171" s="98" t="s">
        <v>410</v>
      </c>
      <c r="L171" s="98"/>
    </row>
    <row r="172" spans="3:12" x14ac:dyDescent="0.25">
      <c r="C172" s="141"/>
      <c r="D172" s="158"/>
      <c r="E172" s="123"/>
      <c r="F172" s="97">
        <f t="shared" si="10"/>
        <v>0</v>
      </c>
      <c r="G172" s="161"/>
      <c r="H172" s="142"/>
      <c r="I172" s="130" t="e">
        <f>VLOOKUP(H172,Presupuesto!$B$11:$C$565,2,0)</f>
        <v>#N/A</v>
      </c>
      <c r="J172" s="98" t="str">
        <f t="shared" si="11"/>
        <v>Posgrado</v>
      </c>
      <c r="K172" s="98" t="s">
        <v>399</v>
      </c>
      <c r="L172" s="98"/>
    </row>
    <row r="173" spans="3:12" x14ac:dyDescent="0.25">
      <c r="C173" s="141"/>
      <c r="D173" s="158"/>
      <c r="E173" s="123"/>
      <c r="F173" s="97">
        <f t="shared" si="10"/>
        <v>0</v>
      </c>
      <c r="G173" s="161"/>
      <c r="H173" s="142"/>
      <c r="I173" s="130" t="e">
        <f>VLOOKUP(H173,Presupuesto!$B$11:$C$565,2,0)</f>
        <v>#N/A</v>
      </c>
      <c r="J173" s="98" t="str">
        <f t="shared" si="11"/>
        <v>Posgrado</v>
      </c>
      <c r="K173" s="98" t="s">
        <v>410</v>
      </c>
      <c r="L173" s="98"/>
    </row>
    <row r="174" spans="3:12" x14ac:dyDescent="0.25">
      <c r="C174" s="141"/>
      <c r="D174" s="158"/>
      <c r="E174" s="123"/>
      <c r="F174" s="97">
        <f t="shared" si="10"/>
        <v>0</v>
      </c>
      <c r="G174" s="161"/>
      <c r="H174" s="142"/>
      <c r="I174" s="130" t="e">
        <f>VLOOKUP(H174,Presupuesto!$B$11:$C$565,2,0)</f>
        <v>#N/A</v>
      </c>
      <c r="J174" s="98" t="str">
        <f t="shared" si="11"/>
        <v>Posgrado</v>
      </c>
      <c r="K174" s="98" t="s">
        <v>410</v>
      </c>
      <c r="L174" s="98"/>
    </row>
    <row r="175" spans="3:12" x14ac:dyDescent="0.25">
      <c r="C175" s="141"/>
      <c r="D175" s="158"/>
      <c r="E175" s="123"/>
      <c r="F175" s="97">
        <f t="shared" si="10"/>
        <v>0</v>
      </c>
      <c r="G175" s="161"/>
      <c r="H175" s="142"/>
      <c r="I175" s="130" t="e">
        <f>VLOOKUP(H175,Presupuesto!$B$11:$C$565,2,0)</f>
        <v>#N/A</v>
      </c>
      <c r="J175" s="98" t="str">
        <f t="shared" si="11"/>
        <v>Posgrado</v>
      </c>
      <c r="K175" s="98" t="s">
        <v>410</v>
      </c>
      <c r="L175" s="98"/>
    </row>
    <row r="176" spans="3:12" x14ac:dyDescent="0.25">
      <c r="C176" s="141"/>
      <c r="D176" s="158"/>
      <c r="E176" s="123"/>
      <c r="F176" s="97">
        <f t="shared" si="10"/>
        <v>0</v>
      </c>
      <c r="G176" s="161"/>
      <c r="H176" s="142"/>
      <c r="I176" s="130" t="e">
        <f>VLOOKUP(H176,Presupuesto!$B$11:$C$565,2,0)</f>
        <v>#N/A</v>
      </c>
      <c r="J176" s="98" t="str">
        <f t="shared" si="11"/>
        <v>Posgrado</v>
      </c>
      <c r="K176" s="98" t="s">
        <v>410</v>
      </c>
      <c r="L176" s="98"/>
    </row>
    <row r="177" spans="3:12" x14ac:dyDescent="0.25">
      <c r="C177" s="143"/>
      <c r="D177" s="158"/>
      <c r="E177" s="118"/>
      <c r="F177" s="97">
        <f t="shared" si="10"/>
        <v>0</v>
      </c>
      <c r="G177" s="161"/>
      <c r="H177" s="144"/>
      <c r="I177" s="130" t="e">
        <f>VLOOKUP(H177,Presupuesto!$B$11:$C$565,2,0)</f>
        <v>#N/A</v>
      </c>
      <c r="J177" s="98" t="str">
        <f t="shared" si="11"/>
        <v>Posgrado</v>
      </c>
      <c r="K177" s="98" t="s">
        <v>410</v>
      </c>
      <c r="L177" s="98"/>
    </row>
    <row r="178" spans="3:12" x14ac:dyDescent="0.25">
      <c r="C178" s="143"/>
      <c r="D178" s="158"/>
      <c r="E178" s="118"/>
      <c r="F178" s="97">
        <f t="shared" si="10"/>
        <v>0</v>
      </c>
      <c r="G178" s="161"/>
      <c r="H178" s="144"/>
      <c r="I178" s="130" t="e">
        <f>VLOOKUP(H178,Presupuesto!$B$11:$C$565,2,0)</f>
        <v>#N/A</v>
      </c>
      <c r="J178" s="98" t="str">
        <f t="shared" si="11"/>
        <v>Posgrado</v>
      </c>
      <c r="K178" s="98" t="s">
        <v>410</v>
      </c>
      <c r="L178" s="98"/>
    </row>
    <row r="179" spans="3:12" x14ac:dyDescent="0.25">
      <c r="C179" s="143"/>
      <c r="D179" s="158"/>
      <c r="E179" s="118"/>
      <c r="F179" s="97">
        <f t="shared" si="10"/>
        <v>0</v>
      </c>
      <c r="G179" s="161"/>
      <c r="H179" s="144"/>
      <c r="I179" s="130" t="e">
        <f>VLOOKUP(H179,Presupuesto!$B$11:$C$565,2,0)</f>
        <v>#N/A</v>
      </c>
      <c r="J179" s="98" t="str">
        <f t="shared" si="11"/>
        <v>Posgrado</v>
      </c>
      <c r="K179" s="98" t="s">
        <v>410</v>
      </c>
      <c r="L179" s="98"/>
    </row>
    <row r="180" spans="3:12" x14ac:dyDescent="0.25">
      <c r="C180" s="143"/>
      <c r="D180" s="158"/>
      <c r="E180" s="118"/>
      <c r="F180" s="97">
        <f t="shared" si="10"/>
        <v>0</v>
      </c>
      <c r="G180" s="161"/>
      <c r="H180" s="144"/>
      <c r="I180" s="130" t="e">
        <f>VLOOKUP(H180,Presupuesto!$B$11:$C$565,2,0)</f>
        <v>#N/A</v>
      </c>
      <c r="J180" s="98" t="str">
        <f t="shared" si="11"/>
        <v>Posgrado</v>
      </c>
      <c r="K180" s="98" t="s">
        <v>410</v>
      </c>
      <c r="L180" s="98"/>
    </row>
    <row r="181" spans="3:12" x14ac:dyDescent="0.25">
      <c r="C181" s="143"/>
      <c r="D181" s="158"/>
      <c r="E181" s="118"/>
      <c r="F181" s="97">
        <f t="shared" si="10"/>
        <v>0</v>
      </c>
      <c r="G181" s="161"/>
      <c r="H181" s="144"/>
      <c r="I181" s="130" t="e">
        <f>VLOOKUP(H181,Presupuesto!$B$11:$C$565,2,0)</f>
        <v>#N/A</v>
      </c>
      <c r="J181" s="98" t="str">
        <f t="shared" si="11"/>
        <v>Posgrado</v>
      </c>
      <c r="K181" s="98" t="s">
        <v>410</v>
      </c>
      <c r="L181" s="98"/>
    </row>
    <row r="182" spans="3:12" x14ac:dyDescent="0.25">
      <c r="C182" s="143"/>
      <c r="D182" s="158"/>
      <c r="E182" s="118"/>
      <c r="F182" s="97">
        <f t="shared" si="10"/>
        <v>0</v>
      </c>
      <c r="G182" s="161"/>
      <c r="H182" s="144"/>
      <c r="I182" s="130" t="e">
        <f>VLOOKUP(H182,Presupuesto!$B$11:$C$565,2,0)</f>
        <v>#N/A</v>
      </c>
      <c r="J182" s="98" t="str">
        <f t="shared" si="11"/>
        <v>Posgrado</v>
      </c>
      <c r="K182" s="98" t="s">
        <v>410</v>
      </c>
      <c r="L182" s="98"/>
    </row>
    <row r="183" spans="3:12" x14ac:dyDescent="0.25">
      <c r="C183" s="145"/>
      <c r="D183" s="158"/>
      <c r="E183" s="118"/>
      <c r="F183" s="97">
        <f t="shared" si="10"/>
        <v>0</v>
      </c>
      <c r="G183" s="161"/>
      <c r="H183" s="146"/>
      <c r="I183" s="130" t="e">
        <f>VLOOKUP(H183,Presupuesto!$B$11:$C$565,2,0)</f>
        <v>#N/A</v>
      </c>
      <c r="J183" s="98" t="str">
        <f t="shared" si="11"/>
        <v>Posgrado</v>
      </c>
      <c r="K183" s="98" t="s">
        <v>401</v>
      </c>
      <c r="L183" s="98"/>
    </row>
    <row r="184" spans="3:12" x14ac:dyDescent="0.25">
      <c r="C184" s="145"/>
      <c r="D184" s="158"/>
      <c r="E184" s="118"/>
      <c r="F184" s="97">
        <f t="shared" si="10"/>
        <v>0</v>
      </c>
      <c r="G184" s="161"/>
      <c r="H184" s="146"/>
      <c r="I184" s="130" t="e">
        <f>VLOOKUP(H184,Presupuesto!$B$11:$C$565,2,0)</f>
        <v>#N/A</v>
      </c>
      <c r="J184" s="98" t="str">
        <f t="shared" si="11"/>
        <v>Posgrado</v>
      </c>
      <c r="K184" s="98" t="s">
        <v>410</v>
      </c>
      <c r="L184" s="98"/>
    </row>
    <row r="185" spans="3:12" x14ac:dyDescent="0.25">
      <c r="C185" s="145"/>
      <c r="D185" s="158"/>
      <c r="E185" s="118"/>
      <c r="F185" s="97">
        <f t="shared" si="10"/>
        <v>0</v>
      </c>
      <c r="G185" s="161"/>
      <c r="H185" s="146"/>
      <c r="I185" s="130" t="e">
        <f>VLOOKUP(H185,Presupuesto!$B$11:$C$565,2,0)</f>
        <v>#N/A</v>
      </c>
      <c r="J185" s="98" t="str">
        <f t="shared" si="11"/>
        <v>Posgrado</v>
      </c>
      <c r="K185" s="98" t="s">
        <v>410</v>
      </c>
      <c r="L185" s="98"/>
    </row>
    <row r="186" spans="3:12" x14ac:dyDescent="0.25">
      <c r="C186" s="145"/>
      <c r="D186" s="158"/>
      <c r="E186" s="118"/>
      <c r="F186" s="97">
        <f t="shared" si="10"/>
        <v>0</v>
      </c>
      <c r="G186" s="161"/>
      <c r="H186" s="146"/>
      <c r="I186" s="130" t="e">
        <f>VLOOKUP(H186,Presupuesto!$B$11:$C$565,2,0)</f>
        <v>#N/A</v>
      </c>
      <c r="J186" s="98" t="str">
        <f t="shared" si="11"/>
        <v>Posgrado</v>
      </c>
      <c r="K186" s="98" t="s">
        <v>410</v>
      </c>
      <c r="L186" s="98"/>
    </row>
    <row r="187" spans="3:12" ht="15.75" thickBot="1" x14ac:dyDescent="0.3">
      <c r="C187" s="147"/>
      <c r="D187" s="222"/>
      <c r="E187" s="103"/>
      <c r="F187" s="105">
        <f t="shared" si="10"/>
        <v>0</v>
      </c>
      <c r="G187" s="162"/>
      <c r="H187" s="148"/>
      <c r="I187" s="132" t="e">
        <f>VLOOKUP(H187,Presupuesto!$B$11:$C$565,2,0)</f>
        <v>#N/A</v>
      </c>
      <c r="J187" s="106" t="str">
        <f t="shared" si="11"/>
        <v>Posgrado</v>
      </c>
      <c r="K187" s="124" t="s">
        <v>392</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7" zoomScale="86" zoomScaleNormal="86" zoomScaleSheetLayoutView="90" workbookViewId="0">
      <selection activeCell="G41" sqref="G40:G41"/>
    </sheetView>
  </sheetViews>
  <sheetFormatPr baseColWidth="10" defaultColWidth="11.5703125" defaultRowHeight="15" x14ac:dyDescent="0.2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x14ac:dyDescent="0.25">
      <c r="A1" s="187" t="s">
        <v>249</v>
      </c>
      <c r="B1" s="190" t="s">
        <v>250</v>
      </c>
      <c r="C1" s="181" t="s">
        <v>251</v>
      </c>
      <c r="D1" s="181" t="s">
        <v>494</v>
      </c>
      <c r="E1" s="181" t="s">
        <v>496</v>
      </c>
      <c r="F1" s="181" t="s">
        <v>498</v>
      </c>
      <c r="G1" s="181" t="s">
        <v>500</v>
      </c>
      <c r="H1" s="181" t="s">
        <v>502</v>
      </c>
      <c r="I1" s="181" t="s">
        <v>504</v>
      </c>
      <c r="J1" s="181" t="s">
        <v>252</v>
      </c>
      <c r="K1" s="181" t="s">
        <v>507</v>
      </c>
      <c r="L1" s="181" t="s">
        <v>253</v>
      </c>
      <c r="M1" s="181" t="s">
        <v>509</v>
      </c>
      <c r="N1" s="181" t="s">
        <v>511</v>
      </c>
      <c r="O1" s="181" t="s">
        <v>513</v>
      </c>
      <c r="P1" s="181" t="s">
        <v>254</v>
      </c>
      <c r="Q1" s="181" t="s">
        <v>514</v>
      </c>
      <c r="R1" s="181" t="s">
        <v>517</v>
      </c>
      <c r="S1" s="181" t="s">
        <v>255</v>
      </c>
      <c r="T1" s="181" t="s">
        <v>519</v>
      </c>
      <c r="U1" s="181" t="s">
        <v>256</v>
      </c>
      <c r="V1" s="181" t="s">
        <v>520</v>
      </c>
      <c r="W1" s="181" t="s">
        <v>521</v>
      </c>
      <c r="X1" s="181" t="s">
        <v>525</v>
      </c>
      <c r="Y1" s="181" t="s">
        <v>272</v>
      </c>
      <c r="Z1" s="181" t="s">
        <v>526</v>
      </c>
      <c r="AA1" s="181" t="s">
        <v>528</v>
      </c>
      <c r="AB1" s="181" t="s">
        <v>530</v>
      </c>
      <c r="AC1" s="181" t="s">
        <v>273</v>
      </c>
      <c r="AD1" s="181" t="s">
        <v>532</v>
      </c>
      <c r="AE1" s="181" t="s">
        <v>534</v>
      </c>
      <c r="AF1" s="181" t="s">
        <v>536</v>
      </c>
      <c r="AG1" s="181" t="s">
        <v>538</v>
      </c>
      <c r="AH1" s="181" t="s">
        <v>248</v>
      </c>
      <c r="AI1" s="181" t="s">
        <v>540</v>
      </c>
      <c r="AJ1" s="190" t="s">
        <v>257</v>
      </c>
      <c r="AK1" s="181" t="s">
        <v>542</v>
      </c>
      <c r="AL1" s="181" t="s">
        <v>258</v>
      </c>
      <c r="AM1" s="181" t="s">
        <v>544</v>
      </c>
      <c r="AN1" s="181" t="s">
        <v>546</v>
      </c>
      <c r="AO1" s="181" t="s">
        <v>259</v>
      </c>
      <c r="AP1" s="181" t="s">
        <v>548</v>
      </c>
      <c r="AQ1" s="181" t="s">
        <v>550</v>
      </c>
      <c r="AR1" s="181" t="s">
        <v>260</v>
      </c>
      <c r="AS1" s="181" t="s">
        <v>551</v>
      </c>
      <c r="AT1" s="181" t="s">
        <v>553</v>
      </c>
      <c r="AU1" s="181" t="s">
        <v>554</v>
      </c>
      <c r="AV1" s="181" t="s">
        <v>555</v>
      </c>
      <c r="AW1" s="181" t="s">
        <v>557</v>
      </c>
      <c r="AX1" s="181" t="s">
        <v>559</v>
      </c>
      <c r="AY1" s="181" t="s">
        <v>560</v>
      </c>
      <c r="AZ1" s="181" t="s">
        <v>261</v>
      </c>
      <c r="BA1" s="181" t="s">
        <v>562</v>
      </c>
      <c r="BB1" s="181" t="s">
        <v>564</v>
      </c>
      <c r="BC1" s="181" t="s">
        <v>566</v>
      </c>
      <c r="BD1" s="181" t="s">
        <v>568</v>
      </c>
      <c r="BE1" s="181" t="s">
        <v>570</v>
      </c>
      <c r="BF1" s="181" t="s">
        <v>572</v>
      </c>
      <c r="BG1" s="181" t="s">
        <v>574</v>
      </c>
      <c r="BH1" s="181" t="s">
        <v>576</v>
      </c>
      <c r="BI1" s="181" t="s">
        <v>274</v>
      </c>
      <c r="BJ1" s="181" t="s">
        <v>578</v>
      </c>
      <c r="BK1" s="181" t="s">
        <v>580</v>
      </c>
      <c r="BL1" s="181" t="s">
        <v>582</v>
      </c>
      <c r="BM1" s="181" t="s">
        <v>584</v>
      </c>
      <c r="BN1" s="181" t="s">
        <v>586</v>
      </c>
      <c r="BO1" s="181" t="s">
        <v>588</v>
      </c>
      <c r="BP1" s="181" t="s">
        <v>590</v>
      </c>
      <c r="BQ1" s="181" t="s">
        <v>592</v>
      </c>
      <c r="BR1" s="181" t="s">
        <v>594</v>
      </c>
      <c r="BS1" s="181" t="s">
        <v>596</v>
      </c>
      <c r="BT1" s="190" t="s">
        <v>262</v>
      </c>
      <c r="BU1" s="181" t="s">
        <v>263</v>
      </c>
      <c r="BV1" s="181" t="s">
        <v>598</v>
      </c>
      <c r="BW1" s="181" t="s">
        <v>264</v>
      </c>
      <c r="BX1" s="181" t="s">
        <v>600</v>
      </c>
      <c r="BY1" s="181" t="s">
        <v>602</v>
      </c>
      <c r="BZ1" s="190" t="s">
        <v>265</v>
      </c>
      <c r="CA1" s="181" t="s">
        <v>266</v>
      </c>
      <c r="CB1" s="181" t="s">
        <v>604</v>
      </c>
      <c r="CC1" s="181" t="s">
        <v>267</v>
      </c>
      <c r="CD1" s="181" t="s">
        <v>606</v>
      </c>
      <c r="CE1" s="181" t="s">
        <v>608</v>
      </c>
      <c r="CF1" s="181" t="s">
        <v>610</v>
      </c>
      <c r="CG1" s="190" t="s">
        <v>268</v>
      </c>
      <c r="CH1" s="181" t="s">
        <v>616</v>
      </c>
      <c r="CI1" s="181" t="s">
        <v>618</v>
      </c>
      <c r="CJ1" s="181" t="s">
        <v>269</v>
      </c>
      <c r="CK1" s="181" t="s">
        <v>612</v>
      </c>
      <c r="CL1" s="181" t="s">
        <v>614</v>
      </c>
      <c r="CM1" s="181" t="s">
        <v>270</v>
      </c>
      <c r="CN1" s="181" t="s">
        <v>620</v>
      </c>
      <c r="CO1" s="181" t="s">
        <v>271</v>
      </c>
      <c r="CP1" s="181" t="s">
        <v>621</v>
      </c>
      <c r="CQ1" s="178" t="s">
        <v>275</v>
      </c>
      <c r="CR1" s="190" t="s">
        <v>276</v>
      </c>
      <c r="CS1" s="181" t="s">
        <v>622</v>
      </c>
      <c r="CT1" s="181" t="s">
        <v>623</v>
      </c>
      <c r="CU1" s="181" t="s">
        <v>625</v>
      </c>
      <c r="CV1" s="181" t="s">
        <v>277</v>
      </c>
      <c r="CW1" s="181" t="s">
        <v>627</v>
      </c>
      <c r="CX1" s="181" t="s">
        <v>629</v>
      </c>
      <c r="CY1" s="181" t="s">
        <v>631</v>
      </c>
      <c r="CZ1" s="181" t="s">
        <v>633</v>
      </c>
      <c r="DA1" s="181" t="s">
        <v>635</v>
      </c>
      <c r="DB1" s="181" t="s">
        <v>637</v>
      </c>
      <c r="DC1" s="190" t="s">
        <v>278</v>
      </c>
      <c r="DD1" s="181" t="s">
        <v>279</v>
      </c>
      <c r="DE1" s="181" t="s">
        <v>639</v>
      </c>
      <c r="DF1" s="181" t="s">
        <v>280</v>
      </c>
      <c r="DG1" s="181" t="s">
        <v>641</v>
      </c>
      <c r="DH1" s="181" t="s">
        <v>643</v>
      </c>
      <c r="DI1" s="181" t="s">
        <v>645</v>
      </c>
      <c r="DJ1" s="181" t="s">
        <v>647</v>
      </c>
      <c r="DK1" s="181" t="s">
        <v>649</v>
      </c>
      <c r="DL1" s="181" t="s">
        <v>651</v>
      </c>
      <c r="DM1" s="181" t="s">
        <v>653</v>
      </c>
      <c r="DN1" s="181" t="s">
        <v>281</v>
      </c>
      <c r="DO1" s="181" t="s">
        <v>655</v>
      </c>
      <c r="DP1" s="181" t="s">
        <v>657</v>
      </c>
      <c r="DQ1" s="181" t="s">
        <v>659</v>
      </c>
      <c r="DR1" s="190" t="s">
        <v>282</v>
      </c>
      <c r="DS1" s="181" t="s">
        <v>661</v>
      </c>
      <c r="DT1" s="181" t="s">
        <v>283</v>
      </c>
      <c r="DU1" s="181" t="s">
        <v>663</v>
      </c>
      <c r="DV1" s="181" t="s">
        <v>284</v>
      </c>
      <c r="DW1" s="181" t="s">
        <v>665</v>
      </c>
      <c r="DX1" s="181" t="s">
        <v>667</v>
      </c>
      <c r="DY1" s="181" t="s">
        <v>669</v>
      </c>
      <c r="DZ1" s="181" t="s">
        <v>671</v>
      </c>
      <c r="EA1" s="181" t="s">
        <v>673</v>
      </c>
      <c r="EB1" s="181" t="s">
        <v>675</v>
      </c>
      <c r="EC1" s="181" t="s">
        <v>677</v>
      </c>
      <c r="ED1" s="181" t="s">
        <v>679</v>
      </c>
      <c r="EE1" s="181" t="s">
        <v>681</v>
      </c>
      <c r="EF1" s="181" t="s">
        <v>683</v>
      </c>
      <c r="EG1" s="181" t="s">
        <v>685</v>
      </c>
      <c r="EH1" s="190" t="s">
        <v>285</v>
      </c>
      <c r="EI1" s="181" t="s">
        <v>687</v>
      </c>
      <c r="EJ1" s="181" t="s">
        <v>286</v>
      </c>
      <c r="EK1" s="181" t="s">
        <v>689</v>
      </c>
      <c r="EL1" s="181" t="s">
        <v>691</v>
      </c>
      <c r="EM1" s="181" t="s">
        <v>287</v>
      </c>
      <c r="EN1" s="181" t="s">
        <v>693</v>
      </c>
      <c r="EO1" s="181" t="s">
        <v>695</v>
      </c>
      <c r="EP1" s="181" t="s">
        <v>288</v>
      </c>
      <c r="EQ1" s="181" t="s">
        <v>697</v>
      </c>
      <c r="ER1" s="181" t="s">
        <v>699</v>
      </c>
      <c r="ES1" s="181" t="s">
        <v>701</v>
      </c>
      <c r="ET1" s="181" t="s">
        <v>289</v>
      </c>
      <c r="EU1" s="181" t="s">
        <v>703</v>
      </c>
      <c r="EV1" s="181" t="s">
        <v>705</v>
      </c>
      <c r="EW1" s="190" t="s">
        <v>290</v>
      </c>
      <c r="EX1" s="181" t="s">
        <v>291</v>
      </c>
      <c r="EY1" s="181" t="s">
        <v>707</v>
      </c>
      <c r="EZ1" s="181" t="s">
        <v>709</v>
      </c>
      <c r="FA1" s="181" t="s">
        <v>711</v>
      </c>
      <c r="FB1" s="181" t="s">
        <v>713</v>
      </c>
      <c r="FC1" s="181" t="s">
        <v>292</v>
      </c>
      <c r="FD1" s="181" t="s">
        <v>715</v>
      </c>
      <c r="FE1" s="181" t="s">
        <v>717</v>
      </c>
      <c r="FF1" s="181" t="s">
        <v>719</v>
      </c>
      <c r="FG1" s="181" t="s">
        <v>721</v>
      </c>
      <c r="FH1" s="181" t="s">
        <v>723</v>
      </c>
      <c r="FI1" s="181" t="s">
        <v>293</v>
      </c>
      <c r="FJ1" s="181" t="s">
        <v>726</v>
      </c>
      <c r="FK1" s="181" t="s">
        <v>294</v>
      </c>
      <c r="FL1" s="181" t="s">
        <v>729</v>
      </c>
      <c r="FM1" s="181" t="s">
        <v>730</v>
      </c>
      <c r="FN1" s="181" t="s">
        <v>732</v>
      </c>
      <c r="FO1" s="181" t="s">
        <v>295</v>
      </c>
      <c r="FP1" s="181" t="s">
        <v>735</v>
      </c>
      <c r="FQ1" s="181" t="s">
        <v>736</v>
      </c>
      <c r="FR1" s="181" t="s">
        <v>738</v>
      </c>
      <c r="FS1" s="181" t="s">
        <v>296</v>
      </c>
      <c r="FT1" s="181" t="s">
        <v>741</v>
      </c>
      <c r="FU1" s="181" t="s">
        <v>743</v>
      </c>
      <c r="FV1" s="181" t="s">
        <v>745</v>
      </c>
      <c r="FW1" s="190" t="s">
        <v>297</v>
      </c>
      <c r="FX1" s="190" t="s">
        <v>298</v>
      </c>
      <c r="FY1" s="181" t="s">
        <v>304</v>
      </c>
      <c r="FZ1" s="181" t="s">
        <v>747</v>
      </c>
      <c r="GA1" s="181" t="s">
        <v>749</v>
      </c>
      <c r="GB1" s="181" t="s">
        <v>751</v>
      </c>
      <c r="GC1" s="181" t="s">
        <v>753</v>
      </c>
      <c r="GD1" s="181" t="s">
        <v>755</v>
      </c>
      <c r="GE1" s="181" t="s">
        <v>757</v>
      </c>
      <c r="GF1" s="190" t="s">
        <v>299</v>
      </c>
      <c r="GG1" s="181" t="s">
        <v>305</v>
      </c>
      <c r="GH1" s="181" t="s">
        <v>759</v>
      </c>
      <c r="GI1" s="181" t="s">
        <v>761</v>
      </c>
      <c r="GJ1" s="181" t="s">
        <v>762</v>
      </c>
      <c r="GK1" s="181" t="s">
        <v>306</v>
      </c>
      <c r="GL1" s="181" t="s">
        <v>765</v>
      </c>
      <c r="GM1" s="181" t="s">
        <v>766</v>
      </c>
      <c r="GN1" s="190" t="s">
        <v>300</v>
      </c>
      <c r="GO1" s="181" t="s">
        <v>301</v>
      </c>
      <c r="GP1" s="181" t="s">
        <v>768</v>
      </c>
      <c r="GQ1" s="181" t="s">
        <v>770</v>
      </c>
      <c r="GR1" s="181" t="s">
        <v>772</v>
      </c>
      <c r="GS1" s="181" t="s">
        <v>774</v>
      </c>
      <c r="GT1" s="181" t="s">
        <v>776</v>
      </c>
      <c r="GU1" s="190" t="s">
        <v>302</v>
      </c>
      <c r="GV1" s="181" t="s">
        <v>303</v>
      </c>
      <c r="GW1" s="181" t="s">
        <v>778</v>
      </c>
      <c r="GX1" s="181" t="s">
        <v>780</v>
      </c>
      <c r="GY1" s="181" t="s">
        <v>782</v>
      </c>
      <c r="GZ1" s="181" t="s">
        <v>784</v>
      </c>
      <c r="HA1" s="181" t="s">
        <v>786</v>
      </c>
      <c r="HB1" s="181" t="s">
        <v>788</v>
      </c>
      <c r="HC1" s="178" t="s">
        <v>307</v>
      </c>
      <c r="HD1" s="190" t="s">
        <v>308</v>
      </c>
      <c r="HE1" s="181" t="s">
        <v>309</v>
      </c>
      <c r="HF1" s="181" t="s">
        <v>790</v>
      </c>
      <c r="HG1" s="181" t="s">
        <v>792</v>
      </c>
      <c r="HH1" s="181" t="s">
        <v>794</v>
      </c>
      <c r="HI1" s="181" t="s">
        <v>796</v>
      </c>
      <c r="HJ1" s="181" t="s">
        <v>310</v>
      </c>
      <c r="HK1" s="181" t="s">
        <v>799</v>
      </c>
      <c r="HL1" s="181" t="s">
        <v>327</v>
      </c>
      <c r="HM1" s="181" t="s">
        <v>837</v>
      </c>
      <c r="HN1" s="181" t="s">
        <v>839</v>
      </c>
      <c r="HO1" s="181" t="s">
        <v>841</v>
      </c>
      <c r="HP1" s="190" t="s">
        <v>311</v>
      </c>
      <c r="HQ1" s="181" t="s">
        <v>801</v>
      </c>
      <c r="HR1" s="181" t="s">
        <v>803</v>
      </c>
      <c r="HS1" s="181" t="s">
        <v>312</v>
      </c>
      <c r="HT1" s="181" t="s">
        <v>806</v>
      </c>
      <c r="HU1" s="181" t="s">
        <v>808</v>
      </c>
      <c r="HV1" s="181" t="s">
        <v>809</v>
      </c>
      <c r="HW1" s="181" t="s">
        <v>811</v>
      </c>
      <c r="HX1" s="190" t="s">
        <v>313</v>
      </c>
      <c r="HY1" s="181" t="s">
        <v>813</v>
      </c>
      <c r="HZ1" s="181" t="s">
        <v>815</v>
      </c>
      <c r="IA1" s="181" t="s">
        <v>817</v>
      </c>
      <c r="IB1" s="181" t="s">
        <v>314</v>
      </c>
      <c r="IC1" s="181" t="s">
        <v>819</v>
      </c>
      <c r="ID1" s="181" t="s">
        <v>821</v>
      </c>
      <c r="IE1" s="181" t="s">
        <v>315</v>
      </c>
      <c r="IF1" s="181" t="s">
        <v>823</v>
      </c>
      <c r="IG1" s="181" t="s">
        <v>825</v>
      </c>
      <c r="IH1" s="181" t="s">
        <v>316</v>
      </c>
      <c r="II1" s="181" t="s">
        <v>827</v>
      </c>
      <c r="IJ1" s="181" t="s">
        <v>829</v>
      </c>
      <c r="IK1" s="181" t="s">
        <v>831</v>
      </c>
      <c r="IL1" s="181" t="s">
        <v>833</v>
      </c>
      <c r="IM1" s="181" t="s">
        <v>317</v>
      </c>
      <c r="IN1" s="181" t="s">
        <v>835</v>
      </c>
      <c r="IO1" s="190" t="s">
        <v>318</v>
      </c>
      <c r="IP1" s="181" t="s">
        <v>843</v>
      </c>
      <c r="IQ1" s="181" t="s">
        <v>845</v>
      </c>
      <c r="IR1" s="181" t="s">
        <v>319</v>
      </c>
      <c r="IS1" s="181" t="s">
        <v>847</v>
      </c>
      <c r="IT1" s="181" t="s">
        <v>849</v>
      </c>
      <c r="IU1" s="181" t="s">
        <v>851</v>
      </c>
      <c r="IV1" s="190" t="s">
        <v>320</v>
      </c>
      <c r="IW1" s="181" t="s">
        <v>853</v>
      </c>
      <c r="IX1" s="181" t="s">
        <v>321</v>
      </c>
      <c r="IY1" s="181" t="s">
        <v>856</v>
      </c>
      <c r="IZ1" s="181" t="s">
        <v>858</v>
      </c>
      <c r="JA1" s="181" t="s">
        <v>860</v>
      </c>
      <c r="JB1" s="181" t="s">
        <v>862</v>
      </c>
      <c r="JC1" s="181" t="s">
        <v>864</v>
      </c>
      <c r="JD1" s="181" t="s">
        <v>866</v>
      </c>
      <c r="JE1" s="181" t="s">
        <v>322</v>
      </c>
      <c r="JF1" s="181" t="s">
        <v>869</v>
      </c>
      <c r="JG1" s="181" t="s">
        <v>871</v>
      </c>
      <c r="JH1" s="181" t="s">
        <v>873</v>
      </c>
      <c r="JI1" s="181" t="s">
        <v>875</v>
      </c>
      <c r="JJ1" s="181" t="s">
        <v>877</v>
      </c>
      <c r="JK1" s="181" t="s">
        <v>879</v>
      </c>
      <c r="JL1" s="181" t="s">
        <v>881</v>
      </c>
      <c r="JM1" s="181" t="s">
        <v>883</v>
      </c>
      <c r="JN1" s="181" t="s">
        <v>323</v>
      </c>
      <c r="JO1" s="181" t="s">
        <v>886</v>
      </c>
      <c r="JP1" s="181" t="s">
        <v>888</v>
      </c>
      <c r="JQ1" s="181" t="s">
        <v>890</v>
      </c>
      <c r="JR1" s="181" t="s">
        <v>892</v>
      </c>
      <c r="JS1" s="181" t="s">
        <v>893</v>
      </c>
      <c r="JT1" s="181" t="s">
        <v>895</v>
      </c>
      <c r="JU1" s="181" t="s">
        <v>897</v>
      </c>
      <c r="JV1" s="181" t="s">
        <v>899</v>
      </c>
      <c r="JW1" s="181" t="s">
        <v>901</v>
      </c>
      <c r="JX1" s="181" t="s">
        <v>903</v>
      </c>
      <c r="JY1" s="181" t="s">
        <v>905</v>
      </c>
      <c r="JZ1" s="181" t="s">
        <v>907</v>
      </c>
      <c r="KA1" s="181" t="s">
        <v>909</v>
      </c>
      <c r="KB1" s="181" t="s">
        <v>911</v>
      </c>
      <c r="KC1" s="181" t="s">
        <v>913</v>
      </c>
      <c r="KD1" s="181" t="s">
        <v>915</v>
      </c>
      <c r="KE1" s="181" t="s">
        <v>917</v>
      </c>
      <c r="KF1" s="181" t="s">
        <v>919</v>
      </c>
      <c r="KG1" s="181" t="s">
        <v>921</v>
      </c>
      <c r="KH1" s="181" t="s">
        <v>923</v>
      </c>
      <c r="KI1" s="181" t="s">
        <v>925</v>
      </c>
      <c r="KJ1" s="181" t="s">
        <v>927</v>
      </c>
      <c r="KK1" s="181" t="s">
        <v>929</v>
      </c>
      <c r="KL1" s="181" t="s">
        <v>931</v>
      </c>
      <c r="KM1" s="181" t="s">
        <v>933</v>
      </c>
      <c r="KN1" s="181" t="s">
        <v>935</v>
      </c>
      <c r="KO1" s="190" t="s">
        <v>324</v>
      </c>
      <c r="KP1" s="181" t="s">
        <v>937</v>
      </c>
      <c r="KQ1" s="181" t="s">
        <v>325</v>
      </c>
      <c r="KR1" s="181" t="s">
        <v>940</v>
      </c>
      <c r="KS1" s="181" t="s">
        <v>942</v>
      </c>
      <c r="KT1" s="181" t="s">
        <v>944</v>
      </c>
      <c r="KU1" s="181" t="s">
        <v>946</v>
      </c>
      <c r="KV1" s="181" t="s">
        <v>326</v>
      </c>
      <c r="KW1" s="181" t="s">
        <v>949</v>
      </c>
      <c r="KX1" s="181" t="s">
        <v>951</v>
      </c>
      <c r="KY1" s="181" t="s">
        <v>953</v>
      </c>
      <c r="KZ1" s="181" t="s">
        <v>955</v>
      </c>
      <c r="LA1" s="181" t="s">
        <v>957</v>
      </c>
      <c r="LB1" s="181" t="s">
        <v>959</v>
      </c>
      <c r="LC1" s="181" t="s">
        <v>961</v>
      </c>
      <c r="LD1" s="178" t="s">
        <v>328</v>
      </c>
      <c r="LE1" s="190" t="s">
        <v>329</v>
      </c>
      <c r="LF1" s="181" t="s">
        <v>330</v>
      </c>
      <c r="LG1" s="181" t="s">
        <v>344</v>
      </c>
      <c r="LH1" s="181" t="s">
        <v>963</v>
      </c>
      <c r="LI1" s="181" t="s">
        <v>965</v>
      </c>
      <c r="LJ1" s="181" t="s">
        <v>967</v>
      </c>
      <c r="LK1" s="181" t="s">
        <v>969</v>
      </c>
      <c r="LL1" s="181" t="s">
        <v>345</v>
      </c>
      <c r="LM1" s="181" t="s">
        <v>971</v>
      </c>
      <c r="LN1" s="181" t="s">
        <v>346</v>
      </c>
      <c r="LO1" s="181" t="s">
        <v>973</v>
      </c>
      <c r="LP1" s="181" t="s">
        <v>331</v>
      </c>
      <c r="LQ1" s="181" t="s">
        <v>975</v>
      </c>
      <c r="LR1" s="181" t="s">
        <v>347</v>
      </c>
      <c r="LS1" s="181" t="s">
        <v>977</v>
      </c>
      <c r="LT1" s="181" t="s">
        <v>979</v>
      </c>
      <c r="LU1" s="181" t="s">
        <v>348</v>
      </c>
      <c r="LV1" s="190" t="s">
        <v>332</v>
      </c>
      <c r="LW1" s="181" t="s">
        <v>333</v>
      </c>
      <c r="LX1" s="181" t="s">
        <v>981</v>
      </c>
      <c r="LY1" s="181" t="s">
        <v>983</v>
      </c>
      <c r="LZ1" s="181" t="s">
        <v>984</v>
      </c>
      <c r="MA1" s="181" t="s">
        <v>986</v>
      </c>
      <c r="MB1" s="181" t="s">
        <v>987</v>
      </c>
      <c r="MC1" s="181" t="s">
        <v>989</v>
      </c>
      <c r="MD1" s="181" t="s">
        <v>991</v>
      </c>
      <c r="ME1" s="181" t="s">
        <v>993</v>
      </c>
      <c r="MF1" s="181" t="s">
        <v>995</v>
      </c>
      <c r="MG1" s="181" t="s">
        <v>334</v>
      </c>
      <c r="MH1" s="181" t="s">
        <v>998</v>
      </c>
      <c r="MI1" s="181" t="s">
        <v>999</v>
      </c>
      <c r="MJ1" s="181" t="s">
        <v>1001</v>
      </c>
      <c r="MK1" s="181" t="s">
        <v>335</v>
      </c>
      <c r="ML1" s="181" t="s">
        <v>1004</v>
      </c>
      <c r="MM1" s="181" t="s">
        <v>1005</v>
      </c>
      <c r="MN1" s="181" t="s">
        <v>1007</v>
      </c>
      <c r="MO1" s="181" t="s">
        <v>1009</v>
      </c>
      <c r="MP1" s="181" t="s">
        <v>336</v>
      </c>
      <c r="MQ1" s="181" t="s">
        <v>1012</v>
      </c>
      <c r="MR1" s="181" t="s">
        <v>1014</v>
      </c>
      <c r="MS1" s="181" t="s">
        <v>1016</v>
      </c>
      <c r="MT1" s="181" t="s">
        <v>1018</v>
      </c>
      <c r="MU1" s="181" t="s">
        <v>337</v>
      </c>
      <c r="MV1" s="181" t="s">
        <v>1021</v>
      </c>
      <c r="MW1" s="181" t="s">
        <v>1023</v>
      </c>
      <c r="MX1" s="181" t="s">
        <v>1025</v>
      </c>
      <c r="MY1" s="181" t="s">
        <v>1027</v>
      </c>
      <c r="MZ1" s="181" t="s">
        <v>1029</v>
      </c>
      <c r="NA1" s="181" t="s">
        <v>1031</v>
      </c>
      <c r="NB1" s="181" t="s">
        <v>1033</v>
      </c>
      <c r="NC1" s="181" t="s">
        <v>1035</v>
      </c>
      <c r="ND1" s="181" t="s">
        <v>1037</v>
      </c>
      <c r="NE1" s="181" t="s">
        <v>1039</v>
      </c>
      <c r="NF1" s="181" t="s">
        <v>1041</v>
      </c>
      <c r="NG1" s="181" t="s">
        <v>1042</v>
      </c>
      <c r="NH1" s="190" t="s">
        <v>338</v>
      </c>
      <c r="NI1" s="181" t="s">
        <v>339</v>
      </c>
      <c r="NJ1" s="181" t="s">
        <v>1044</v>
      </c>
      <c r="NK1" s="181" t="s">
        <v>1046</v>
      </c>
      <c r="NL1" s="181" t="s">
        <v>1048</v>
      </c>
      <c r="NM1" s="181" t="s">
        <v>1050</v>
      </c>
      <c r="NN1" s="190" t="s">
        <v>340</v>
      </c>
      <c r="NO1" s="181" t="s">
        <v>341</v>
      </c>
      <c r="NP1" s="181" t="s">
        <v>1051</v>
      </c>
      <c r="NQ1" s="181" t="s">
        <v>342</v>
      </c>
      <c r="NR1" s="181" t="s">
        <v>1053</v>
      </c>
      <c r="NS1" s="181" t="s">
        <v>1055</v>
      </c>
      <c r="NT1" s="181" t="s">
        <v>343</v>
      </c>
      <c r="NU1" s="181" t="s">
        <v>1057</v>
      </c>
      <c r="NV1" s="178" t="s">
        <v>349</v>
      </c>
      <c r="NW1" s="190" t="s">
        <v>350</v>
      </c>
      <c r="NX1" s="181" t="s">
        <v>351</v>
      </c>
      <c r="NY1" s="181" t="s">
        <v>1060</v>
      </c>
      <c r="NZ1" s="181" t="s">
        <v>1062</v>
      </c>
      <c r="OA1" s="181" t="s">
        <v>352</v>
      </c>
      <c r="OB1" s="181" t="s">
        <v>362</v>
      </c>
      <c r="OC1" s="181" t="s">
        <v>1064</v>
      </c>
      <c r="OD1" s="181" t="s">
        <v>1066</v>
      </c>
      <c r="OE1" s="181" t="s">
        <v>1068</v>
      </c>
      <c r="OF1" s="181" t="s">
        <v>1070</v>
      </c>
      <c r="OG1" s="181" t="s">
        <v>1072</v>
      </c>
      <c r="OH1" s="181" t="s">
        <v>1074</v>
      </c>
      <c r="OI1" s="181" t="s">
        <v>1076</v>
      </c>
      <c r="OJ1" s="181" t="s">
        <v>1078</v>
      </c>
      <c r="OK1" s="181" t="s">
        <v>1080</v>
      </c>
      <c r="OL1" s="181" t="s">
        <v>1082</v>
      </c>
      <c r="OM1" s="181" t="s">
        <v>1084</v>
      </c>
      <c r="ON1" s="181" t="s">
        <v>1086</v>
      </c>
      <c r="OO1" s="181" t="s">
        <v>1088</v>
      </c>
      <c r="OP1" s="181" t="s">
        <v>1090</v>
      </c>
      <c r="OQ1" s="181" t="s">
        <v>1092</v>
      </c>
      <c r="OR1" s="181" t="s">
        <v>1094</v>
      </c>
      <c r="OS1" s="181" t="s">
        <v>1096</v>
      </c>
      <c r="OT1" s="181" t="s">
        <v>1098</v>
      </c>
      <c r="OU1" s="181" t="s">
        <v>1100</v>
      </c>
      <c r="OV1" s="181" t="s">
        <v>1102</v>
      </c>
      <c r="OW1" s="181" t="s">
        <v>1104</v>
      </c>
      <c r="OX1" s="181" t="s">
        <v>1106</v>
      </c>
      <c r="OY1" s="181" t="s">
        <v>363</v>
      </c>
      <c r="OZ1" s="181" t="s">
        <v>1109</v>
      </c>
      <c r="PA1" s="181" t="s">
        <v>1111</v>
      </c>
      <c r="PB1" s="181" t="s">
        <v>1112</v>
      </c>
      <c r="PC1" s="181" t="s">
        <v>1114</v>
      </c>
      <c r="PD1" s="181" t="s">
        <v>1116</v>
      </c>
      <c r="PE1" s="181" t="s">
        <v>1118</v>
      </c>
      <c r="PF1" s="181" t="s">
        <v>1120</v>
      </c>
      <c r="PG1" s="181" t="s">
        <v>1122</v>
      </c>
      <c r="PH1" s="181" t="s">
        <v>1124</v>
      </c>
      <c r="PI1" s="181" t="s">
        <v>1126</v>
      </c>
      <c r="PJ1" s="181" t="s">
        <v>1128</v>
      </c>
      <c r="PK1" s="181" t="s">
        <v>1130</v>
      </c>
      <c r="PL1" s="181" t="s">
        <v>1132</v>
      </c>
      <c r="PM1" s="181" t="s">
        <v>1134</v>
      </c>
      <c r="PN1" s="181" t="s">
        <v>1136</v>
      </c>
      <c r="PO1" s="181" t="s">
        <v>1138</v>
      </c>
      <c r="PP1" s="181" t="s">
        <v>1140</v>
      </c>
      <c r="PQ1" s="181" t="s">
        <v>1142</v>
      </c>
      <c r="PR1" s="181" t="s">
        <v>1144</v>
      </c>
      <c r="PS1" s="181" t="s">
        <v>1146</v>
      </c>
      <c r="PT1" s="181" t="s">
        <v>1148</v>
      </c>
      <c r="PU1" s="181" t="s">
        <v>1150</v>
      </c>
      <c r="PV1" s="181" t="s">
        <v>1152</v>
      </c>
      <c r="PW1" s="181" t="s">
        <v>1154</v>
      </c>
      <c r="PX1" s="181" t="s">
        <v>1156</v>
      </c>
      <c r="PY1" s="181" t="s">
        <v>1158</v>
      </c>
      <c r="PZ1" s="181" t="s">
        <v>353</v>
      </c>
      <c r="QA1" s="181" t="s">
        <v>1160</v>
      </c>
      <c r="QB1" s="181" t="s">
        <v>1162</v>
      </c>
      <c r="QC1" s="181" t="s">
        <v>1164</v>
      </c>
      <c r="QD1" s="181" t="s">
        <v>1166</v>
      </c>
      <c r="QE1" s="181" t="s">
        <v>1168</v>
      </c>
      <c r="QF1" s="190" t="s">
        <v>354</v>
      </c>
      <c r="QG1" s="181" t="s">
        <v>355</v>
      </c>
      <c r="QH1" s="181" t="s">
        <v>1170</v>
      </c>
      <c r="QI1" s="181" t="s">
        <v>1172</v>
      </c>
      <c r="QJ1" s="181" t="s">
        <v>1174</v>
      </c>
      <c r="QK1" s="181" t="s">
        <v>1176</v>
      </c>
      <c r="QL1" s="181" t="s">
        <v>1178</v>
      </c>
      <c r="QM1" s="181" t="s">
        <v>1180</v>
      </c>
      <c r="QN1" s="190" t="s">
        <v>356</v>
      </c>
      <c r="QO1" s="181" t="s">
        <v>1182</v>
      </c>
      <c r="QP1" s="181" t="s">
        <v>357</v>
      </c>
      <c r="QQ1" s="181" t="s">
        <v>364</v>
      </c>
      <c r="QR1" s="181" t="s">
        <v>1184</v>
      </c>
      <c r="QS1" s="181" t="s">
        <v>1186</v>
      </c>
      <c r="QT1" s="181" t="s">
        <v>1188</v>
      </c>
      <c r="QU1" s="181" t="s">
        <v>1190</v>
      </c>
      <c r="QV1" s="181" t="s">
        <v>1192</v>
      </c>
      <c r="QW1" s="181" t="s">
        <v>1194</v>
      </c>
      <c r="QX1" s="181" t="s">
        <v>1196</v>
      </c>
      <c r="QY1" s="181" t="s">
        <v>1198</v>
      </c>
      <c r="QZ1" s="181" t="s">
        <v>1200</v>
      </c>
      <c r="RA1" s="181" t="s">
        <v>1202</v>
      </c>
      <c r="RB1" s="181" t="s">
        <v>1204</v>
      </c>
      <c r="RC1" s="181" t="s">
        <v>1206</v>
      </c>
      <c r="RD1" s="181" t="s">
        <v>1208</v>
      </c>
      <c r="RE1" s="181" t="s">
        <v>1210</v>
      </c>
      <c r="RF1" s="190" t="s">
        <v>358</v>
      </c>
      <c r="RG1" s="181" t="s">
        <v>359</v>
      </c>
      <c r="RH1" s="181" t="s">
        <v>1212</v>
      </c>
      <c r="RI1" s="181" t="s">
        <v>1214</v>
      </c>
      <c r="RJ1" s="190" t="s">
        <v>360</v>
      </c>
      <c r="RK1" s="181" t="s">
        <v>361</v>
      </c>
      <c r="RL1" s="181" t="s">
        <v>1216</v>
      </c>
      <c r="RM1" s="181" t="s">
        <v>1217</v>
      </c>
      <c r="RN1" s="181" t="s">
        <v>1218</v>
      </c>
      <c r="RO1" s="181" t="s">
        <v>1219</v>
      </c>
      <c r="RP1" s="181" t="s">
        <v>1221</v>
      </c>
      <c r="RQ1" s="181" t="s">
        <v>1222</v>
      </c>
      <c r="RR1" s="181" t="s">
        <v>1224</v>
      </c>
      <c r="RS1" s="181" t="s">
        <v>1225</v>
      </c>
      <c r="RT1" s="178" t="s">
        <v>365</v>
      </c>
      <c r="RU1" s="190" t="s">
        <v>366</v>
      </c>
      <c r="RV1" s="181" t="s">
        <v>367</v>
      </c>
      <c r="RW1" s="181" t="s">
        <v>1227</v>
      </c>
      <c r="RX1" s="181" t="s">
        <v>1229</v>
      </c>
      <c r="RY1" s="181" t="s">
        <v>368</v>
      </c>
      <c r="RZ1" s="181" t="s">
        <v>1231</v>
      </c>
      <c r="SA1" s="181" t="s">
        <v>1233</v>
      </c>
      <c r="SB1" s="181" t="s">
        <v>1235</v>
      </c>
      <c r="SC1" s="181" t="s">
        <v>1237</v>
      </c>
      <c r="SD1" s="190" t="s">
        <v>369</v>
      </c>
      <c r="SE1" s="181" t="s">
        <v>370</v>
      </c>
      <c r="SF1" s="181" t="s">
        <v>1239</v>
      </c>
      <c r="SG1" s="181" t="s">
        <v>1241</v>
      </c>
      <c r="SH1" s="181" t="s">
        <v>1243</v>
      </c>
      <c r="SI1" s="181" t="s">
        <v>1245</v>
      </c>
      <c r="SJ1" s="181" t="s">
        <v>1247</v>
      </c>
      <c r="SK1" s="181" t="s">
        <v>1249</v>
      </c>
      <c r="SL1" s="181" t="s">
        <v>1251</v>
      </c>
      <c r="SM1" s="181" t="s">
        <v>1253</v>
      </c>
      <c r="SN1" s="181" t="s">
        <v>1255</v>
      </c>
      <c r="SO1" s="181" t="s">
        <v>1257</v>
      </c>
      <c r="SP1" s="181" t="s">
        <v>1259</v>
      </c>
      <c r="SQ1" s="181" t="s">
        <v>1261</v>
      </c>
      <c r="SR1" s="181" t="s">
        <v>1263</v>
      </c>
      <c r="SS1" s="181" t="s">
        <v>1265</v>
      </c>
      <c r="ST1" s="181" t="s">
        <v>1267</v>
      </c>
      <c r="SU1" s="178" t="s">
        <v>371</v>
      </c>
      <c r="SV1" s="190" t="s">
        <v>372</v>
      </c>
      <c r="SW1" s="181" t="s">
        <v>373</v>
      </c>
      <c r="SX1" s="181" t="s">
        <v>1269</v>
      </c>
      <c r="SY1" s="181" t="s">
        <v>1271</v>
      </c>
      <c r="SZ1" s="181" t="s">
        <v>1273</v>
      </c>
      <c r="TA1" s="181" t="s">
        <v>1275</v>
      </c>
      <c r="TB1" s="181" t="s">
        <v>1277</v>
      </c>
      <c r="TC1" s="181" t="s">
        <v>374</v>
      </c>
      <c r="TD1" s="181" t="s">
        <v>1279</v>
      </c>
      <c r="TE1" s="181" t="s">
        <v>1281</v>
      </c>
      <c r="TF1" s="181" t="s">
        <v>1283</v>
      </c>
      <c r="TG1" s="181" t="s">
        <v>1285</v>
      </c>
      <c r="TH1" s="181" t="s">
        <v>1287</v>
      </c>
      <c r="TI1" s="181" t="s">
        <v>1289</v>
      </c>
      <c r="TJ1" s="190" t="s">
        <v>375</v>
      </c>
      <c r="TK1" s="181" t="s">
        <v>376</v>
      </c>
      <c r="TL1" s="181" t="s">
        <v>377</v>
      </c>
      <c r="TM1" s="181" t="s">
        <v>1291</v>
      </c>
      <c r="TN1" s="181" t="s">
        <v>1293</v>
      </c>
      <c r="TO1" s="181" t="s">
        <v>1294</v>
      </c>
      <c r="TP1" s="181" t="s">
        <v>1296</v>
      </c>
      <c r="TQ1" s="181" t="s">
        <v>1298</v>
      </c>
      <c r="TR1" s="181" t="s">
        <v>1300</v>
      </c>
      <c r="TS1" s="181" t="s">
        <v>1302</v>
      </c>
      <c r="TT1" s="181" t="s">
        <v>1304</v>
      </c>
      <c r="TU1" s="181" t="s">
        <v>1306</v>
      </c>
      <c r="TV1" s="181" t="s">
        <v>1308</v>
      </c>
      <c r="TW1" s="181" t="s">
        <v>1310</v>
      </c>
      <c r="TX1" s="181" t="s">
        <v>1312</v>
      </c>
      <c r="TY1" s="181" t="s">
        <v>1314</v>
      </c>
      <c r="TZ1" s="181" t="s">
        <v>1316</v>
      </c>
      <c r="UA1" s="181" t="s">
        <v>1318</v>
      </c>
      <c r="UB1" s="181" t="s">
        <v>1320</v>
      </c>
      <c r="UC1" s="178" t="s">
        <v>1322</v>
      </c>
      <c r="UD1" s="181" t="s">
        <v>1324</v>
      </c>
      <c r="UE1" s="181" t="s">
        <v>1326</v>
      </c>
      <c r="UF1" s="181" t="s">
        <v>1328</v>
      </c>
      <c r="UG1" s="181" t="s">
        <v>1330</v>
      </c>
      <c r="UH1" s="181" t="s">
        <v>1332</v>
      </c>
      <c r="UI1" s="184"/>
    </row>
    <row r="2" spans="1:555" s="122" customFormat="1" hidden="1" x14ac:dyDescent="0.25">
      <c r="A2" s="122" t="s">
        <v>1355</v>
      </c>
      <c r="B2" s="122" t="s">
        <v>1357</v>
      </c>
      <c r="C2" s="122" t="s">
        <v>469</v>
      </c>
      <c r="D2" s="122" t="s">
        <v>1356</v>
      </c>
      <c r="E2" s="122" t="s">
        <v>1358</v>
      </c>
      <c r="F2" s="122" t="s">
        <v>470</v>
      </c>
      <c r="G2" s="160" t="s">
        <v>1359</v>
      </c>
      <c r="H2" s="122" t="s">
        <v>1360</v>
      </c>
      <c r="I2" s="122" t="s">
        <v>1361</v>
      </c>
      <c r="J2" s="122" t="s">
        <v>1443</v>
      </c>
      <c r="K2" s="122" t="s">
        <v>1362</v>
      </c>
      <c r="L2" s="122" t="s">
        <v>1363</v>
      </c>
      <c r="M2" s="122" t="s">
        <v>1364</v>
      </c>
      <c r="N2" s="122" t="s">
        <v>1365</v>
      </c>
      <c r="O2" s="122" t="s">
        <v>1366</v>
      </c>
      <c r="P2" s="122" t="s">
        <v>1468</v>
      </c>
      <c r="Q2" s="122" t="s">
        <v>1503</v>
      </c>
      <c r="R2" s="459" t="str">
        <f>+Presupuesto!D11</f>
        <v>Recurrente</v>
      </c>
      <c r="S2" s="459" t="str">
        <f>+Presupuesto!E11</f>
        <v>Programa / Proyecto 2017</v>
      </c>
      <c r="U2" s="122" t="s">
        <v>392</v>
      </c>
      <c r="V2" s="122" t="s">
        <v>410</v>
      </c>
      <c r="W2" s="122" t="s">
        <v>393</v>
      </c>
      <c r="X2" s="122" t="s">
        <v>394</v>
      </c>
      <c r="Y2" s="122" t="s">
        <v>395</v>
      </c>
      <c r="Z2" s="122" t="s">
        <v>396</v>
      </c>
      <c r="AA2" s="122" t="s">
        <v>397</v>
      </c>
      <c r="AB2" s="122" t="s">
        <v>398</v>
      </c>
      <c r="AC2" s="122" t="s">
        <v>399</v>
      </c>
      <c r="AD2" s="122" t="s">
        <v>400</v>
      </c>
      <c r="AE2" s="122" t="s">
        <v>401</v>
      </c>
      <c r="AF2" s="122" t="s">
        <v>402</v>
      </c>
      <c r="AH2" s="454" t="s">
        <v>418</v>
      </c>
      <c r="AI2" s="454" t="s">
        <v>419</v>
      </c>
      <c r="AJ2" s="454" t="s">
        <v>420</v>
      </c>
      <c r="AK2" s="454" t="s">
        <v>421</v>
      </c>
      <c r="AL2" s="454" t="s">
        <v>422</v>
      </c>
      <c r="AM2" s="454" t="s">
        <v>425</v>
      </c>
      <c r="AN2" s="454" t="s">
        <v>423</v>
      </c>
      <c r="AO2" s="454" t="s">
        <v>424</v>
      </c>
      <c r="AP2" s="454" t="s">
        <v>426</v>
      </c>
      <c r="AQ2" s="454" t="s">
        <v>427</v>
      </c>
      <c r="AR2" s="454" t="s">
        <v>428</v>
      </c>
      <c r="AS2" s="454" t="s">
        <v>429</v>
      </c>
      <c r="AT2" s="454" t="s">
        <v>430</v>
      </c>
      <c r="AU2" s="454" t="s">
        <v>431</v>
      </c>
      <c r="AV2" s="454" t="s">
        <v>432</v>
      </c>
      <c r="AW2" s="454" t="s">
        <v>433</v>
      </c>
      <c r="AX2" s="454" t="s">
        <v>434</v>
      </c>
      <c r="AY2" s="454" t="s">
        <v>435</v>
      </c>
      <c r="AZ2" s="454" t="s">
        <v>436</v>
      </c>
      <c r="BA2" s="454" t="s">
        <v>437</v>
      </c>
      <c r="BB2" s="454" t="s">
        <v>438</v>
      </c>
      <c r="BC2" s="454" t="s">
        <v>439</v>
      </c>
      <c r="BD2" s="454" t="s">
        <v>440</v>
      </c>
      <c r="BE2" s="454" t="s">
        <v>441</v>
      </c>
      <c r="BF2" s="454" t="s">
        <v>442</v>
      </c>
      <c r="BG2" s="454" t="s">
        <v>443</v>
      </c>
      <c r="BH2" s="454" t="s">
        <v>444</v>
      </c>
      <c r="BI2" s="454" t="s">
        <v>445</v>
      </c>
      <c r="BJ2" s="454" t="s">
        <v>446</v>
      </c>
      <c r="BK2" s="454" t="s">
        <v>447</v>
      </c>
      <c r="BL2" s="454" t="s">
        <v>448</v>
      </c>
      <c r="BM2" s="454" t="s">
        <v>449</v>
      </c>
      <c r="BN2" s="454" t="s">
        <v>450</v>
      </c>
      <c r="BO2" s="454" t="s">
        <v>451</v>
      </c>
      <c r="BP2" s="454" t="s">
        <v>452</v>
      </c>
      <c r="BQ2" s="454" t="s">
        <v>453</v>
      </c>
      <c r="BR2" s="454" t="s">
        <v>454</v>
      </c>
      <c r="BS2" s="454" t="s">
        <v>455</v>
      </c>
      <c r="BT2" s="454" t="s">
        <v>456</v>
      </c>
      <c r="BU2" s="454" t="s">
        <v>457</v>
      </c>
    </row>
    <row r="3" spans="1:555" hidden="1" x14ac:dyDescent="0.25">
      <c r="AH3" s="455">
        <v>2500</v>
      </c>
      <c r="AI3" s="455">
        <v>1900</v>
      </c>
      <c r="AJ3" s="455">
        <v>1650</v>
      </c>
      <c r="AK3" s="455">
        <v>1580</v>
      </c>
      <c r="AL3" s="455">
        <v>2250</v>
      </c>
      <c r="AM3" s="455">
        <v>1650</v>
      </c>
      <c r="AN3" s="455">
        <v>1400</v>
      </c>
      <c r="AO3" s="456">
        <v>1340</v>
      </c>
      <c r="AP3" s="456">
        <v>2000</v>
      </c>
      <c r="AQ3" s="456">
        <v>1400</v>
      </c>
      <c r="AR3" s="456">
        <v>1150</v>
      </c>
      <c r="AS3" s="456">
        <v>1100</v>
      </c>
      <c r="AT3" s="456">
        <v>1750</v>
      </c>
      <c r="AU3" s="456">
        <v>1150</v>
      </c>
      <c r="AV3" s="456">
        <v>900</v>
      </c>
      <c r="AW3" s="456">
        <v>860</v>
      </c>
      <c r="AX3" s="456">
        <v>1200</v>
      </c>
      <c r="AY3" s="457">
        <v>900</v>
      </c>
      <c r="AZ3" s="457">
        <v>650</v>
      </c>
      <c r="BA3" s="457">
        <v>620</v>
      </c>
      <c r="BB3" s="455">
        <f>+'Cuadro Resumen'!C213</f>
        <v>5759.1495000000004</v>
      </c>
      <c r="BC3" s="455">
        <f>+'Cuadro Resumen'!D213</f>
        <v>5307.4515000000001</v>
      </c>
      <c r="BD3" s="455">
        <f>+'Cuadro Resumen'!E213</f>
        <v>6775.47</v>
      </c>
      <c r="BE3" s="455">
        <f>+'Cuadro Resumen'!F213</f>
        <v>6323.7719999999999</v>
      </c>
      <c r="BF3" s="455">
        <f>+'Cuadro Resumen'!C214</f>
        <v>5081.6025</v>
      </c>
      <c r="BG3" s="455">
        <f>+'Cuadro Resumen'!D214</f>
        <v>4629.9045000000006</v>
      </c>
      <c r="BH3" s="455">
        <f>+'Cuadro Resumen'!E214</f>
        <v>6097.9230000000007</v>
      </c>
      <c r="BI3" s="455">
        <f>+'Cuadro Resumen'!F214</f>
        <v>5646.2250000000004</v>
      </c>
      <c r="BJ3" s="456">
        <f>+'Cuadro Resumen'!C215</f>
        <v>4404.0555000000004</v>
      </c>
      <c r="BK3" s="456">
        <f>+'Cuadro Resumen'!D215</f>
        <v>4065.2820000000002</v>
      </c>
      <c r="BL3" s="456">
        <f>+'Cuadro Resumen'!E215</f>
        <v>5420.3760000000002</v>
      </c>
      <c r="BM3" s="456">
        <f>+'Cuadro Resumen'!F215</f>
        <v>4968.6779999999999</v>
      </c>
      <c r="BN3" s="456">
        <f>+'Cuadro Resumen'!C216</f>
        <v>3726.5085000000004</v>
      </c>
      <c r="BO3" s="456">
        <f>+'Cuadro Resumen'!D216</f>
        <v>3387.7350000000001</v>
      </c>
      <c r="BP3" s="456">
        <f>+'Cuadro Resumen'!E216</f>
        <v>4742.8290000000006</v>
      </c>
      <c r="BQ3" s="456">
        <f>+'Cuadro Resumen'!F216</f>
        <v>4404.0555000000004</v>
      </c>
      <c r="BR3" s="456">
        <f>+'Cuadro Resumen'!C217</f>
        <v>3274.8105</v>
      </c>
      <c r="BS3" s="456">
        <f>+'Cuadro Resumen'!D217</f>
        <v>3048.9615000000003</v>
      </c>
      <c r="BT3" s="456">
        <f>+'Cuadro Resumen'!E217</f>
        <v>4178.2065000000002</v>
      </c>
      <c r="BU3" s="456">
        <f>+'Cuadro Resumen'!F217</f>
        <v>3839.433</v>
      </c>
    </row>
    <row r="4" spans="1:555" ht="15.75" thickBot="1" x14ac:dyDescent="0.3"/>
    <row r="5" spans="1:555" ht="53.25" thickBot="1" x14ac:dyDescent="0.3">
      <c r="C5" s="87" t="s">
        <v>417</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2">
        <f>SUM(F17:F50)</f>
        <v>0</v>
      </c>
      <c r="G10" s="79"/>
      <c r="H10" s="70"/>
      <c r="I10" s="70"/>
    </row>
    <row r="11" spans="1:555" x14ac:dyDescent="0.25">
      <c r="G11" s="79"/>
      <c r="H11" s="70"/>
      <c r="I11" s="70"/>
    </row>
    <row r="12" spans="1:555" x14ac:dyDescent="0.25">
      <c r="F12" s="70"/>
      <c r="G12" s="79"/>
      <c r="H12" s="70"/>
      <c r="I12" s="70"/>
    </row>
    <row r="13" spans="1:555" ht="15.75" x14ac:dyDescent="0.25">
      <c r="C13" s="301" t="s">
        <v>390</v>
      </c>
      <c r="D13" s="368"/>
      <c r="F13" s="70"/>
      <c r="G13" s="79"/>
      <c r="H13" s="70"/>
      <c r="I13" s="70"/>
    </row>
    <row r="14" spans="1:555" ht="18.75" x14ac:dyDescent="0.25">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Proceso...'!$G:$H,2,FALSE),IFERROR(VLOOKUP(D13,'12.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U.'!$G:$H,2,0)))))))))))))))))</f>
        <v>#N/A</v>
      </c>
      <c r="D14" s="31"/>
      <c r="F14" s="70"/>
      <c r="G14" s="79"/>
      <c r="H14" s="70"/>
      <c r="I14" s="70"/>
    </row>
    <row r="15" spans="1:555" ht="42.75" thickBot="1" x14ac:dyDescent="0.3">
      <c r="F15" s="93"/>
      <c r="G15" s="76"/>
      <c r="H15" s="76"/>
      <c r="I15" s="76"/>
      <c r="L15" s="226"/>
      <c r="M15" s="227"/>
      <c r="N15" s="226"/>
      <c r="O15" s="226"/>
      <c r="P15" s="229" t="s">
        <v>467</v>
      </c>
      <c r="Q15" s="229" t="s">
        <v>468</v>
      </c>
    </row>
    <row r="16" spans="1:555" ht="30.75" thickBot="1" x14ac:dyDescent="0.3">
      <c r="C16" s="129" t="s">
        <v>44</v>
      </c>
      <c r="D16" s="129" t="s">
        <v>55</v>
      </c>
      <c r="E16" s="136" t="s">
        <v>57</v>
      </c>
      <c r="F16" s="135" t="s">
        <v>27</v>
      </c>
      <c r="G16" s="133" t="s">
        <v>129</v>
      </c>
      <c r="H16" s="136" t="s">
        <v>46</v>
      </c>
      <c r="I16" s="133" t="s">
        <v>130</v>
      </c>
      <c r="J16" s="133" t="s">
        <v>408</v>
      </c>
      <c r="K16" s="133" t="s">
        <v>409</v>
      </c>
      <c r="L16" s="223" t="s">
        <v>21</v>
      </c>
      <c r="M16" s="223" t="s">
        <v>55</v>
      </c>
      <c r="N16" s="224" t="s">
        <v>465</v>
      </c>
      <c r="O16" s="225" t="s">
        <v>466</v>
      </c>
      <c r="P16" s="228">
        <v>0.7</v>
      </c>
      <c r="Q16" s="228">
        <v>0.3</v>
      </c>
    </row>
    <row r="17" spans="3:17" x14ac:dyDescent="0.25">
      <c r="C17" s="141"/>
      <c r="D17" s="158"/>
      <c r="E17" s="123"/>
      <c r="F17" s="97">
        <f t="shared" ref="F17:F50" si="0">D17*E17</f>
        <v>0</v>
      </c>
      <c r="G17" s="161"/>
      <c r="H17" s="142"/>
      <c r="I17" s="130" t="e">
        <f>VLOOKUP(H17,Presupuesto!$B$11:$C$565,2,0)</f>
        <v>#N/A</v>
      </c>
      <c r="J17" s="218" t="s">
        <v>1357</v>
      </c>
      <c r="K17" s="98" t="s">
        <v>410</v>
      </c>
      <c r="L17" s="141"/>
      <c r="M17" s="158"/>
      <c r="N17" s="123"/>
      <c r="O17" s="97">
        <f t="shared" ref="O17:O50" si="1">M17*N17</f>
        <v>0</v>
      </c>
      <c r="P17" s="97">
        <f t="shared" ref="P17:Q36" si="2">$O17*P$16</f>
        <v>0</v>
      </c>
      <c r="Q17" s="97">
        <f t="shared" si="2"/>
        <v>0</v>
      </c>
    </row>
    <row r="18" spans="3:17" x14ac:dyDescent="0.25">
      <c r="C18" s="141"/>
      <c r="D18" s="158"/>
      <c r="E18" s="123"/>
      <c r="F18" s="97">
        <f t="shared" si="0"/>
        <v>0</v>
      </c>
      <c r="G18" s="161"/>
      <c r="H18" s="142"/>
      <c r="I18" s="130" t="e">
        <f>VLOOKUP(H18,Presupuesto!$B$11:$C$565,2,0)</f>
        <v>#N/A</v>
      </c>
      <c r="J18" s="98" t="str">
        <f>$J$17</f>
        <v>Investigación Científica</v>
      </c>
      <c r="K18" s="98" t="s">
        <v>410</v>
      </c>
      <c r="L18" s="141"/>
      <c r="M18" s="158"/>
      <c r="N18" s="123"/>
      <c r="O18" s="97">
        <f t="shared" si="1"/>
        <v>0</v>
      </c>
      <c r="P18" s="97">
        <f t="shared" si="2"/>
        <v>0</v>
      </c>
      <c r="Q18" s="97">
        <f t="shared" si="2"/>
        <v>0</v>
      </c>
    </row>
    <row r="19" spans="3:17" x14ac:dyDescent="0.25">
      <c r="C19" s="141"/>
      <c r="D19" s="158"/>
      <c r="E19" s="123"/>
      <c r="F19" s="97">
        <f t="shared" si="0"/>
        <v>0</v>
      </c>
      <c r="G19" s="161"/>
      <c r="H19" s="142"/>
      <c r="I19" s="130" t="e">
        <f>VLOOKUP(H19,Presupuesto!$B$11:$C$565,2,0)</f>
        <v>#N/A</v>
      </c>
      <c r="J19" s="98" t="str">
        <f t="shared" ref="J19:J49" si="3">$J$17</f>
        <v>Investigación Científica</v>
      </c>
      <c r="K19" s="98" t="s">
        <v>410</v>
      </c>
      <c r="L19" s="141"/>
      <c r="M19" s="158"/>
      <c r="N19" s="123"/>
      <c r="O19" s="97">
        <f t="shared" si="1"/>
        <v>0</v>
      </c>
      <c r="P19" s="97">
        <f t="shared" si="2"/>
        <v>0</v>
      </c>
      <c r="Q19" s="97">
        <f t="shared" si="2"/>
        <v>0</v>
      </c>
    </row>
    <row r="20" spans="3:17" x14ac:dyDescent="0.25">
      <c r="C20" s="141"/>
      <c r="D20" s="158"/>
      <c r="E20" s="123"/>
      <c r="F20" s="97">
        <f t="shared" si="0"/>
        <v>0</v>
      </c>
      <c r="G20" s="161"/>
      <c r="H20" s="142"/>
      <c r="I20" s="130" t="e">
        <f>VLOOKUP(H20,Presupuesto!$B$11:$C$565,2,0)</f>
        <v>#N/A</v>
      </c>
      <c r="J20" s="98" t="str">
        <f t="shared" si="3"/>
        <v>Investigación Científica</v>
      </c>
      <c r="K20" s="98" t="s">
        <v>410</v>
      </c>
      <c r="L20" s="141"/>
      <c r="M20" s="158"/>
      <c r="N20" s="123"/>
      <c r="O20" s="97">
        <f t="shared" si="1"/>
        <v>0</v>
      </c>
      <c r="P20" s="97">
        <f t="shared" si="2"/>
        <v>0</v>
      </c>
      <c r="Q20" s="97">
        <f t="shared" si="2"/>
        <v>0</v>
      </c>
    </row>
    <row r="21" spans="3:17" x14ac:dyDescent="0.25">
      <c r="C21" s="141"/>
      <c r="D21" s="158"/>
      <c r="E21" s="123"/>
      <c r="F21" s="97">
        <f t="shared" si="0"/>
        <v>0</v>
      </c>
      <c r="G21" s="161"/>
      <c r="H21" s="142"/>
      <c r="I21" s="130" t="e">
        <f>VLOOKUP(H21,Presupuesto!$B$11:$C$565,2,0)</f>
        <v>#N/A</v>
      </c>
      <c r="J21" s="98" t="str">
        <f t="shared" si="3"/>
        <v>Investigación Científica</v>
      </c>
      <c r="K21" s="98" t="s">
        <v>399</v>
      </c>
      <c r="L21" s="141"/>
      <c r="M21" s="158"/>
      <c r="N21" s="123"/>
      <c r="O21" s="97">
        <f t="shared" si="1"/>
        <v>0</v>
      </c>
      <c r="P21" s="97">
        <f t="shared" si="2"/>
        <v>0</v>
      </c>
      <c r="Q21" s="97">
        <f t="shared" si="2"/>
        <v>0</v>
      </c>
    </row>
    <row r="22" spans="3:17" x14ac:dyDescent="0.25">
      <c r="C22" s="141"/>
      <c r="D22" s="158"/>
      <c r="E22" s="123"/>
      <c r="F22" s="97">
        <f t="shared" si="0"/>
        <v>0</v>
      </c>
      <c r="G22" s="161"/>
      <c r="H22" s="142"/>
      <c r="I22" s="130" t="e">
        <f>VLOOKUP(H22,Presupuesto!$B$11:$C$565,2,0)</f>
        <v>#N/A</v>
      </c>
      <c r="J22" s="98" t="str">
        <f t="shared" si="3"/>
        <v>Investigación Científica</v>
      </c>
      <c r="K22" s="98" t="s">
        <v>410</v>
      </c>
      <c r="L22" s="141"/>
      <c r="M22" s="158"/>
      <c r="N22" s="123"/>
      <c r="O22" s="97">
        <f t="shared" si="1"/>
        <v>0</v>
      </c>
      <c r="P22" s="97">
        <f t="shared" si="2"/>
        <v>0</v>
      </c>
      <c r="Q22" s="97">
        <f t="shared" si="2"/>
        <v>0</v>
      </c>
    </row>
    <row r="23" spans="3:17" x14ac:dyDescent="0.25">
      <c r="C23" s="141"/>
      <c r="D23" s="158"/>
      <c r="E23" s="123"/>
      <c r="F23" s="97">
        <f t="shared" si="0"/>
        <v>0</v>
      </c>
      <c r="G23" s="161"/>
      <c r="H23" s="142"/>
      <c r="I23" s="130" t="e">
        <f>VLOOKUP(H23,Presupuesto!$B$11:$C$565,2,0)</f>
        <v>#N/A</v>
      </c>
      <c r="J23" s="98" t="str">
        <f t="shared" si="3"/>
        <v>Investigación Científica</v>
      </c>
      <c r="K23" s="98" t="s">
        <v>410</v>
      </c>
      <c r="L23" s="141"/>
      <c r="M23" s="158"/>
      <c r="N23" s="123"/>
      <c r="O23" s="97">
        <f t="shared" si="1"/>
        <v>0</v>
      </c>
      <c r="P23" s="97">
        <f t="shared" si="2"/>
        <v>0</v>
      </c>
      <c r="Q23" s="97">
        <f t="shared" si="2"/>
        <v>0</v>
      </c>
    </row>
    <row r="24" spans="3:17" x14ac:dyDescent="0.25">
      <c r="C24" s="141"/>
      <c r="D24" s="158"/>
      <c r="E24" s="123"/>
      <c r="F24" s="97">
        <f t="shared" si="0"/>
        <v>0</v>
      </c>
      <c r="G24" s="161"/>
      <c r="H24" s="142"/>
      <c r="I24" s="130" t="e">
        <f>VLOOKUP(H24,Presupuesto!$B$11:$C$565,2,0)</f>
        <v>#N/A</v>
      </c>
      <c r="J24" s="98" t="str">
        <f t="shared" si="3"/>
        <v>Investigación Científica</v>
      </c>
      <c r="K24" s="98" t="s">
        <v>410</v>
      </c>
      <c r="L24" s="141"/>
      <c r="M24" s="158"/>
      <c r="N24" s="123"/>
      <c r="O24" s="97">
        <f t="shared" si="1"/>
        <v>0</v>
      </c>
      <c r="P24" s="97">
        <f t="shared" si="2"/>
        <v>0</v>
      </c>
      <c r="Q24" s="97">
        <f t="shared" si="2"/>
        <v>0</v>
      </c>
    </row>
    <row r="25" spans="3:17" x14ac:dyDescent="0.25">
      <c r="C25" s="141"/>
      <c r="D25" s="158"/>
      <c r="E25" s="123"/>
      <c r="F25" s="97">
        <f t="shared" si="0"/>
        <v>0</v>
      </c>
      <c r="G25" s="161"/>
      <c r="H25" s="142"/>
      <c r="I25" s="130" t="e">
        <f>VLOOKUP(H25,Presupuesto!$B$11:$C$565,2,0)</f>
        <v>#N/A</v>
      </c>
      <c r="J25" s="98" t="str">
        <f t="shared" si="3"/>
        <v>Investigación Científica</v>
      </c>
      <c r="K25" s="98" t="s">
        <v>410</v>
      </c>
      <c r="L25" s="141"/>
      <c r="M25" s="158"/>
      <c r="N25" s="123"/>
      <c r="O25" s="97">
        <f t="shared" si="1"/>
        <v>0</v>
      </c>
      <c r="P25" s="97">
        <f t="shared" si="2"/>
        <v>0</v>
      </c>
      <c r="Q25" s="97">
        <f t="shared" si="2"/>
        <v>0</v>
      </c>
    </row>
    <row r="26" spans="3:17" x14ac:dyDescent="0.25">
      <c r="C26" s="141"/>
      <c r="D26" s="158"/>
      <c r="E26" s="123"/>
      <c r="F26" s="97">
        <f t="shared" si="0"/>
        <v>0</v>
      </c>
      <c r="G26" s="161"/>
      <c r="H26" s="142"/>
      <c r="I26" s="130" t="e">
        <f>VLOOKUP(H26,Presupuesto!$B$11:$C$565,2,0)</f>
        <v>#N/A</v>
      </c>
      <c r="J26" s="98" t="str">
        <f t="shared" si="3"/>
        <v>Investigación Científica</v>
      </c>
      <c r="K26" s="98" t="s">
        <v>410</v>
      </c>
      <c r="L26" s="141"/>
      <c r="M26" s="158"/>
      <c r="N26" s="123"/>
      <c r="O26" s="97">
        <f t="shared" si="1"/>
        <v>0</v>
      </c>
      <c r="P26" s="97">
        <f t="shared" si="2"/>
        <v>0</v>
      </c>
      <c r="Q26" s="97">
        <f t="shared" si="2"/>
        <v>0</v>
      </c>
    </row>
    <row r="27" spans="3:17" x14ac:dyDescent="0.25">
      <c r="C27" s="141"/>
      <c r="D27" s="158"/>
      <c r="E27" s="123"/>
      <c r="F27" s="97">
        <f t="shared" si="0"/>
        <v>0</v>
      </c>
      <c r="G27" s="161"/>
      <c r="H27" s="142"/>
      <c r="I27" s="130" t="e">
        <f>VLOOKUP(H27,Presupuesto!$B$11:$C$565,2,0)</f>
        <v>#N/A</v>
      </c>
      <c r="J27" s="98" t="str">
        <f t="shared" si="3"/>
        <v>Investigación Científica</v>
      </c>
      <c r="K27" s="98" t="s">
        <v>410</v>
      </c>
      <c r="L27" s="141"/>
      <c r="M27" s="158"/>
      <c r="N27" s="123"/>
      <c r="O27" s="97">
        <f t="shared" si="1"/>
        <v>0</v>
      </c>
      <c r="P27" s="97">
        <f t="shared" si="2"/>
        <v>0</v>
      </c>
      <c r="Q27" s="97">
        <f t="shared" si="2"/>
        <v>0</v>
      </c>
    </row>
    <row r="28" spans="3:17" x14ac:dyDescent="0.25">
      <c r="C28" s="141"/>
      <c r="D28" s="158"/>
      <c r="E28" s="123"/>
      <c r="F28" s="97">
        <f t="shared" si="0"/>
        <v>0</v>
      </c>
      <c r="G28" s="161"/>
      <c r="H28" s="142"/>
      <c r="I28" s="130" t="e">
        <f>VLOOKUP(H28,Presupuesto!$B$11:$C$565,2,0)</f>
        <v>#N/A</v>
      </c>
      <c r="J28" s="98" t="str">
        <f t="shared" si="3"/>
        <v>Investigación Científica</v>
      </c>
      <c r="K28" s="98" t="s">
        <v>410</v>
      </c>
      <c r="L28" s="141"/>
      <c r="M28" s="158"/>
      <c r="N28" s="123"/>
      <c r="O28" s="97">
        <f t="shared" si="1"/>
        <v>0</v>
      </c>
      <c r="P28" s="97">
        <f t="shared" si="2"/>
        <v>0</v>
      </c>
      <c r="Q28" s="97">
        <f t="shared" si="2"/>
        <v>0</v>
      </c>
    </row>
    <row r="29" spans="3:17" x14ac:dyDescent="0.25">
      <c r="C29" s="141"/>
      <c r="D29" s="158"/>
      <c r="E29" s="123"/>
      <c r="F29" s="97">
        <f t="shared" si="0"/>
        <v>0</v>
      </c>
      <c r="G29" s="161"/>
      <c r="H29" s="142"/>
      <c r="I29" s="130" t="e">
        <f>VLOOKUP(H29,Presupuesto!$B$11:$C$565,2,0)</f>
        <v>#N/A</v>
      </c>
      <c r="J29" s="98" t="str">
        <f t="shared" si="3"/>
        <v>Investigación Científica</v>
      </c>
      <c r="K29" s="98" t="s">
        <v>410</v>
      </c>
      <c r="L29" s="141"/>
      <c r="M29" s="158"/>
      <c r="N29" s="123"/>
      <c r="O29" s="97">
        <f t="shared" si="1"/>
        <v>0</v>
      </c>
      <c r="P29" s="97">
        <f t="shared" si="2"/>
        <v>0</v>
      </c>
      <c r="Q29" s="97">
        <f t="shared" si="2"/>
        <v>0</v>
      </c>
    </row>
    <row r="30" spans="3:17" x14ac:dyDescent="0.25">
      <c r="C30" s="141"/>
      <c r="D30" s="158"/>
      <c r="E30" s="123"/>
      <c r="F30" s="97">
        <f t="shared" si="0"/>
        <v>0</v>
      </c>
      <c r="G30" s="161"/>
      <c r="H30" s="142"/>
      <c r="I30" s="130" t="e">
        <f>VLOOKUP(H30,Presupuesto!$B$11:$C$565,2,0)</f>
        <v>#N/A</v>
      </c>
      <c r="J30" s="98" t="str">
        <f t="shared" si="3"/>
        <v>Investigación Científica</v>
      </c>
      <c r="K30" s="98" t="s">
        <v>410</v>
      </c>
      <c r="L30" s="141"/>
      <c r="M30" s="158"/>
      <c r="N30" s="123"/>
      <c r="O30" s="97">
        <f t="shared" si="1"/>
        <v>0</v>
      </c>
      <c r="P30" s="97">
        <f t="shared" si="2"/>
        <v>0</v>
      </c>
      <c r="Q30" s="97">
        <f t="shared" si="2"/>
        <v>0</v>
      </c>
    </row>
    <row r="31" spans="3:17" x14ac:dyDescent="0.25">
      <c r="C31" s="141"/>
      <c r="D31" s="158"/>
      <c r="E31" s="123"/>
      <c r="F31" s="97">
        <f t="shared" si="0"/>
        <v>0</v>
      </c>
      <c r="G31" s="161"/>
      <c r="H31" s="142"/>
      <c r="I31" s="130" t="e">
        <f>VLOOKUP(H31,Presupuesto!$B$11:$C$565,2,0)</f>
        <v>#N/A</v>
      </c>
      <c r="J31" s="98" t="str">
        <f t="shared" si="3"/>
        <v>Investigación Científica</v>
      </c>
      <c r="K31" s="98" t="s">
        <v>410</v>
      </c>
      <c r="L31" s="141"/>
      <c r="M31" s="158"/>
      <c r="N31" s="123"/>
      <c r="O31" s="97">
        <f t="shared" si="1"/>
        <v>0</v>
      </c>
      <c r="P31" s="97">
        <f t="shared" si="2"/>
        <v>0</v>
      </c>
      <c r="Q31" s="97">
        <f t="shared" si="2"/>
        <v>0</v>
      </c>
    </row>
    <row r="32" spans="3:17" x14ac:dyDescent="0.25">
      <c r="C32" s="141"/>
      <c r="D32" s="158"/>
      <c r="E32" s="123"/>
      <c r="F32" s="97">
        <f t="shared" si="0"/>
        <v>0</v>
      </c>
      <c r="G32" s="161"/>
      <c r="H32" s="142"/>
      <c r="I32" s="130" t="e">
        <f>VLOOKUP(H32,Presupuesto!$B$11:$C$565,2,0)</f>
        <v>#N/A</v>
      </c>
      <c r="J32" s="98" t="str">
        <f t="shared" si="3"/>
        <v>Investigación Científica</v>
      </c>
      <c r="K32" s="98" t="s">
        <v>410</v>
      </c>
      <c r="L32" s="141"/>
      <c r="M32" s="158"/>
      <c r="N32" s="123"/>
      <c r="O32" s="97">
        <f t="shared" si="1"/>
        <v>0</v>
      </c>
      <c r="P32" s="97">
        <f t="shared" si="2"/>
        <v>0</v>
      </c>
      <c r="Q32" s="97">
        <f t="shared" si="2"/>
        <v>0</v>
      </c>
    </row>
    <row r="33" spans="3:17" x14ac:dyDescent="0.25">
      <c r="C33" s="141"/>
      <c r="D33" s="158"/>
      <c r="E33" s="123"/>
      <c r="F33" s="97">
        <f t="shared" si="0"/>
        <v>0</v>
      </c>
      <c r="G33" s="161"/>
      <c r="H33" s="142"/>
      <c r="I33" s="130" t="e">
        <f>VLOOKUP(H33,Presupuesto!$B$11:$C$565,2,0)</f>
        <v>#N/A</v>
      </c>
      <c r="J33" s="98" t="str">
        <f t="shared" si="3"/>
        <v>Investigación Científica</v>
      </c>
      <c r="K33" s="98" t="s">
        <v>410</v>
      </c>
      <c r="L33" s="141"/>
      <c r="M33" s="158"/>
      <c r="N33" s="123"/>
      <c r="O33" s="97">
        <f t="shared" si="1"/>
        <v>0</v>
      </c>
      <c r="P33" s="97">
        <f t="shared" si="2"/>
        <v>0</v>
      </c>
      <c r="Q33" s="97">
        <f t="shared" si="2"/>
        <v>0</v>
      </c>
    </row>
    <row r="34" spans="3:17" x14ac:dyDescent="0.25">
      <c r="C34" s="141"/>
      <c r="D34" s="158"/>
      <c r="E34" s="123"/>
      <c r="F34" s="97">
        <f t="shared" si="0"/>
        <v>0</v>
      </c>
      <c r="G34" s="161"/>
      <c r="H34" s="142"/>
      <c r="I34" s="130" t="e">
        <f>VLOOKUP(H34,Presupuesto!$B$11:$C$565,2,0)</f>
        <v>#N/A</v>
      </c>
      <c r="J34" s="98" t="str">
        <f t="shared" si="3"/>
        <v>Investigación Científica</v>
      </c>
      <c r="K34" s="98" t="s">
        <v>410</v>
      </c>
      <c r="L34" s="141"/>
      <c r="M34" s="158"/>
      <c r="N34" s="123"/>
      <c r="O34" s="97">
        <f t="shared" si="1"/>
        <v>0</v>
      </c>
      <c r="P34" s="97">
        <f t="shared" si="2"/>
        <v>0</v>
      </c>
      <c r="Q34" s="97">
        <f t="shared" si="2"/>
        <v>0</v>
      </c>
    </row>
    <row r="35" spans="3:17" x14ac:dyDescent="0.25">
      <c r="C35" s="141"/>
      <c r="D35" s="158"/>
      <c r="E35" s="123"/>
      <c r="F35" s="97">
        <f t="shared" si="0"/>
        <v>0</v>
      </c>
      <c r="G35" s="161"/>
      <c r="H35" s="142"/>
      <c r="I35" s="130" t="e">
        <f>VLOOKUP(H35,Presupuesto!$B$11:$C$565,2,0)</f>
        <v>#N/A</v>
      </c>
      <c r="J35" s="98" t="str">
        <f t="shared" si="3"/>
        <v>Investigación Científica</v>
      </c>
      <c r="K35" s="98" t="s">
        <v>410</v>
      </c>
      <c r="L35" s="141"/>
      <c r="M35" s="158"/>
      <c r="N35" s="123"/>
      <c r="O35" s="97">
        <f t="shared" si="1"/>
        <v>0</v>
      </c>
      <c r="P35" s="97">
        <f t="shared" si="2"/>
        <v>0</v>
      </c>
      <c r="Q35" s="97">
        <f t="shared" si="2"/>
        <v>0</v>
      </c>
    </row>
    <row r="36" spans="3:17" x14ac:dyDescent="0.25">
      <c r="C36" s="141"/>
      <c r="D36" s="158"/>
      <c r="E36" s="123"/>
      <c r="F36" s="97">
        <f t="shared" si="0"/>
        <v>0</v>
      </c>
      <c r="G36" s="161"/>
      <c r="H36" s="142"/>
      <c r="I36" s="130" t="e">
        <f>VLOOKUP(H36,Presupuesto!$B$11:$C$565,2,0)</f>
        <v>#N/A</v>
      </c>
      <c r="J36" s="98" t="str">
        <f t="shared" si="3"/>
        <v>Investigación Científica</v>
      </c>
      <c r="K36" s="98" t="s">
        <v>410</v>
      </c>
      <c r="L36" s="141"/>
      <c r="M36" s="158"/>
      <c r="N36" s="123"/>
      <c r="O36" s="97">
        <f t="shared" si="1"/>
        <v>0</v>
      </c>
      <c r="P36" s="97">
        <f t="shared" si="2"/>
        <v>0</v>
      </c>
      <c r="Q36" s="97">
        <f t="shared" si="2"/>
        <v>0</v>
      </c>
    </row>
    <row r="37" spans="3:17" x14ac:dyDescent="0.25">
      <c r="C37" s="141"/>
      <c r="D37" s="158"/>
      <c r="E37" s="123"/>
      <c r="F37" s="97">
        <f t="shared" si="0"/>
        <v>0</v>
      </c>
      <c r="G37" s="161"/>
      <c r="H37" s="142"/>
      <c r="I37" s="130" t="e">
        <f>VLOOKUP(H37,Presupuesto!$B$11:$C$565,2,0)</f>
        <v>#N/A</v>
      </c>
      <c r="J37" s="98" t="str">
        <f t="shared" si="3"/>
        <v>Investigación Científica</v>
      </c>
      <c r="K37" s="98" t="s">
        <v>410</v>
      </c>
      <c r="L37" s="141"/>
      <c r="M37" s="158"/>
      <c r="N37" s="123"/>
      <c r="O37" s="97">
        <f t="shared" si="1"/>
        <v>0</v>
      </c>
      <c r="P37" s="97">
        <f t="shared" ref="P37:Q50" si="4">$O37*P$16</f>
        <v>0</v>
      </c>
      <c r="Q37" s="97">
        <f t="shared" si="4"/>
        <v>0</v>
      </c>
    </row>
    <row r="38" spans="3:17" x14ac:dyDescent="0.25">
      <c r="C38" s="143"/>
      <c r="D38" s="151"/>
      <c r="E38" s="118"/>
      <c r="F38" s="97">
        <f t="shared" si="0"/>
        <v>0</v>
      </c>
      <c r="G38" s="161"/>
      <c r="H38" s="144"/>
      <c r="I38" s="130" t="e">
        <f>VLOOKUP(H38,Presupuesto!$B$11:$C$565,2,0)</f>
        <v>#N/A</v>
      </c>
      <c r="J38" s="98" t="str">
        <f t="shared" si="3"/>
        <v>Investigación Científica</v>
      </c>
      <c r="K38" s="98" t="s">
        <v>410</v>
      </c>
      <c r="L38" s="143"/>
      <c r="M38" s="151"/>
      <c r="N38" s="118"/>
      <c r="O38" s="97">
        <f t="shared" si="1"/>
        <v>0</v>
      </c>
      <c r="P38" s="97">
        <f t="shared" si="4"/>
        <v>0</v>
      </c>
      <c r="Q38" s="97">
        <f t="shared" si="4"/>
        <v>0</v>
      </c>
    </row>
    <row r="39" spans="3:17" x14ac:dyDescent="0.25">
      <c r="C39" s="143"/>
      <c r="D39" s="151"/>
      <c r="E39" s="118"/>
      <c r="F39" s="97">
        <f t="shared" si="0"/>
        <v>0</v>
      </c>
      <c r="G39" s="161"/>
      <c r="H39" s="144"/>
      <c r="I39" s="130" t="e">
        <f>VLOOKUP(H39,Presupuesto!$B$11:$C$565,2,0)</f>
        <v>#N/A</v>
      </c>
      <c r="J39" s="98" t="str">
        <f t="shared" si="3"/>
        <v>Investigación Científica</v>
      </c>
      <c r="K39" s="98" t="s">
        <v>410</v>
      </c>
      <c r="L39" s="143"/>
      <c r="M39" s="151"/>
      <c r="N39" s="118"/>
      <c r="O39" s="97">
        <f t="shared" si="1"/>
        <v>0</v>
      </c>
      <c r="P39" s="97">
        <f t="shared" si="4"/>
        <v>0</v>
      </c>
      <c r="Q39" s="97">
        <f t="shared" si="4"/>
        <v>0</v>
      </c>
    </row>
    <row r="40" spans="3:17" x14ac:dyDescent="0.25">
      <c r="C40" s="143"/>
      <c r="D40" s="151"/>
      <c r="E40" s="118"/>
      <c r="F40" s="97">
        <f t="shared" si="0"/>
        <v>0</v>
      </c>
      <c r="G40" s="161"/>
      <c r="H40" s="144"/>
      <c r="I40" s="130" t="e">
        <f>VLOOKUP(H40,Presupuesto!$B$11:$C$565,2,0)</f>
        <v>#N/A</v>
      </c>
      <c r="J40" s="98" t="str">
        <f t="shared" si="3"/>
        <v>Investigación Científica</v>
      </c>
      <c r="K40" s="98" t="s">
        <v>410</v>
      </c>
      <c r="L40" s="143"/>
      <c r="M40" s="151"/>
      <c r="N40" s="118"/>
      <c r="O40" s="97">
        <f t="shared" si="1"/>
        <v>0</v>
      </c>
      <c r="P40" s="97">
        <f t="shared" si="4"/>
        <v>0</v>
      </c>
      <c r="Q40" s="97">
        <f t="shared" si="4"/>
        <v>0</v>
      </c>
    </row>
    <row r="41" spans="3:17" x14ac:dyDescent="0.25">
      <c r="C41" s="143"/>
      <c r="D41" s="151"/>
      <c r="E41" s="118"/>
      <c r="F41" s="97">
        <f t="shared" si="0"/>
        <v>0</v>
      </c>
      <c r="G41" s="161"/>
      <c r="H41" s="144"/>
      <c r="I41" s="130" t="e">
        <f>VLOOKUP(H41,Presupuesto!$B$11:$C$565,2,0)</f>
        <v>#N/A</v>
      </c>
      <c r="J41" s="98" t="str">
        <f t="shared" si="3"/>
        <v>Investigación Científica</v>
      </c>
      <c r="K41" s="98" t="s">
        <v>410</v>
      </c>
      <c r="L41" s="143"/>
      <c r="M41" s="151"/>
      <c r="N41" s="118"/>
      <c r="O41" s="97">
        <f t="shared" si="1"/>
        <v>0</v>
      </c>
      <c r="P41" s="97">
        <f t="shared" si="4"/>
        <v>0</v>
      </c>
      <c r="Q41" s="97">
        <f t="shared" si="4"/>
        <v>0</v>
      </c>
    </row>
    <row r="42" spans="3:17" x14ac:dyDescent="0.25">
      <c r="C42" s="143"/>
      <c r="D42" s="151"/>
      <c r="E42" s="118"/>
      <c r="F42" s="97">
        <f t="shared" si="0"/>
        <v>0</v>
      </c>
      <c r="G42" s="161"/>
      <c r="H42" s="144"/>
      <c r="I42" s="130" t="e">
        <f>VLOOKUP(H42,Presupuesto!$B$11:$C$565,2,0)</f>
        <v>#N/A</v>
      </c>
      <c r="J42" s="98" t="str">
        <f t="shared" si="3"/>
        <v>Investigación Científica</v>
      </c>
      <c r="K42" s="98" t="s">
        <v>410</v>
      </c>
      <c r="L42" s="143"/>
      <c r="M42" s="151"/>
      <c r="N42" s="118"/>
      <c r="O42" s="97">
        <f t="shared" si="1"/>
        <v>0</v>
      </c>
      <c r="P42" s="97">
        <f t="shared" si="4"/>
        <v>0</v>
      </c>
      <c r="Q42" s="97">
        <f t="shared" si="4"/>
        <v>0</v>
      </c>
    </row>
    <row r="43" spans="3:17" x14ac:dyDescent="0.25">
      <c r="C43" s="143"/>
      <c r="D43" s="151"/>
      <c r="E43" s="118"/>
      <c r="F43" s="97">
        <f t="shared" si="0"/>
        <v>0</v>
      </c>
      <c r="G43" s="161"/>
      <c r="H43" s="144"/>
      <c r="I43" s="130" t="e">
        <f>VLOOKUP(H43,Presupuesto!$B$11:$C$565,2,0)</f>
        <v>#N/A</v>
      </c>
      <c r="J43" s="98" t="str">
        <f t="shared" si="3"/>
        <v>Investigación Científica</v>
      </c>
      <c r="K43" s="98" t="s">
        <v>410</v>
      </c>
      <c r="L43" s="143"/>
      <c r="M43" s="151"/>
      <c r="N43" s="118"/>
      <c r="O43" s="97">
        <f t="shared" si="1"/>
        <v>0</v>
      </c>
      <c r="P43" s="97">
        <f t="shared" si="4"/>
        <v>0</v>
      </c>
      <c r="Q43" s="97">
        <f t="shared" si="4"/>
        <v>0</v>
      </c>
    </row>
    <row r="44" spans="3:17" x14ac:dyDescent="0.25">
      <c r="C44" s="143"/>
      <c r="D44" s="151"/>
      <c r="E44" s="118"/>
      <c r="F44" s="97">
        <f t="shared" si="0"/>
        <v>0</v>
      </c>
      <c r="G44" s="161"/>
      <c r="H44" s="144"/>
      <c r="I44" s="130" t="e">
        <f>VLOOKUP(H44,Presupuesto!$B$11:$C$565,2,0)</f>
        <v>#N/A</v>
      </c>
      <c r="J44" s="98" t="str">
        <f t="shared" si="3"/>
        <v>Investigación Científica</v>
      </c>
      <c r="K44" s="98" t="s">
        <v>410</v>
      </c>
      <c r="L44" s="143"/>
      <c r="M44" s="151"/>
      <c r="N44" s="118"/>
      <c r="O44" s="97">
        <f t="shared" si="1"/>
        <v>0</v>
      </c>
      <c r="P44" s="97">
        <f t="shared" si="4"/>
        <v>0</v>
      </c>
      <c r="Q44" s="97">
        <f t="shared" si="4"/>
        <v>0</v>
      </c>
    </row>
    <row r="45" spans="3:17" x14ac:dyDescent="0.25">
      <c r="C45" s="143"/>
      <c r="D45" s="151"/>
      <c r="E45" s="118"/>
      <c r="F45" s="97">
        <f t="shared" si="0"/>
        <v>0</v>
      </c>
      <c r="G45" s="161"/>
      <c r="H45" s="144"/>
      <c r="I45" s="130" t="e">
        <f>VLOOKUP(H45,Presupuesto!$B$11:$C$565,2,0)</f>
        <v>#N/A</v>
      </c>
      <c r="J45" s="98" t="str">
        <f t="shared" si="3"/>
        <v>Investigación Científica</v>
      </c>
      <c r="K45" s="98" t="s">
        <v>410</v>
      </c>
      <c r="L45" s="143"/>
      <c r="M45" s="151"/>
      <c r="N45" s="118"/>
      <c r="O45" s="97">
        <f t="shared" si="1"/>
        <v>0</v>
      </c>
      <c r="P45" s="97">
        <f t="shared" si="4"/>
        <v>0</v>
      </c>
      <c r="Q45" s="97">
        <f t="shared" si="4"/>
        <v>0</v>
      </c>
    </row>
    <row r="46" spans="3:17" x14ac:dyDescent="0.25">
      <c r="C46" s="145"/>
      <c r="D46" s="151"/>
      <c r="E46" s="118"/>
      <c r="F46" s="97">
        <f t="shared" si="0"/>
        <v>0</v>
      </c>
      <c r="G46" s="161"/>
      <c r="H46" s="146"/>
      <c r="I46" s="130" t="e">
        <f>VLOOKUP(H46,Presupuesto!$B$11:$C$565,2,0)</f>
        <v>#N/A</v>
      </c>
      <c r="J46" s="98" t="str">
        <f t="shared" si="3"/>
        <v>Investigación Científica</v>
      </c>
      <c r="K46" s="98" t="s">
        <v>401</v>
      </c>
      <c r="L46" s="145"/>
      <c r="M46" s="151"/>
      <c r="N46" s="118"/>
      <c r="O46" s="97">
        <f t="shared" si="1"/>
        <v>0</v>
      </c>
      <c r="P46" s="97">
        <f t="shared" si="4"/>
        <v>0</v>
      </c>
      <c r="Q46" s="97">
        <f t="shared" si="4"/>
        <v>0</v>
      </c>
    </row>
    <row r="47" spans="3:17" x14ac:dyDescent="0.25">
      <c r="C47" s="145"/>
      <c r="D47" s="151"/>
      <c r="E47" s="118"/>
      <c r="F47" s="97">
        <f t="shared" si="0"/>
        <v>0</v>
      </c>
      <c r="G47" s="161"/>
      <c r="H47" s="146"/>
      <c r="I47" s="130" t="e">
        <f>VLOOKUP(H47,Presupuesto!$B$11:$C$565,2,0)</f>
        <v>#N/A</v>
      </c>
      <c r="J47" s="98" t="str">
        <f t="shared" si="3"/>
        <v>Investigación Científica</v>
      </c>
      <c r="K47" s="98" t="s">
        <v>410</v>
      </c>
      <c r="L47" s="145"/>
      <c r="M47" s="151"/>
      <c r="N47" s="118"/>
      <c r="O47" s="97">
        <f t="shared" si="1"/>
        <v>0</v>
      </c>
      <c r="P47" s="97">
        <f t="shared" si="4"/>
        <v>0</v>
      </c>
      <c r="Q47" s="97">
        <f t="shared" si="4"/>
        <v>0</v>
      </c>
    </row>
    <row r="48" spans="3:17" x14ac:dyDescent="0.25">
      <c r="C48" s="145"/>
      <c r="D48" s="151"/>
      <c r="E48" s="118"/>
      <c r="F48" s="97">
        <f t="shared" si="0"/>
        <v>0</v>
      </c>
      <c r="G48" s="161"/>
      <c r="H48" s="146"/>
      <c r="I48" s="130" t="e">
        <f>VLOOKUP(H48,Presupuesto!$B$11:$C$565,2,0)</f>
        <v>#N/A</v>
      </c>
      <c r="J48" s="98" t="str">
        <f t="shared" si="3"/>
        <v>Investigación Científica</v>
      </c>
      <c r="K48" s="98" t="s">
        <v>410</v>
      </c>
      <c r="L48" s="145"/>
      <c r="M48" s="151"/>
      <c r="N48" s="118"/>
      <c r="O48" s="97">
        <f t="shared" si="1"/>
        <v>0</v>
      </c>
      <c r="P48" s="97">
        <f t="shared" si="4"/>
        <v>0</v>
      </c>
      <c r="Q48" s="97">
        <f t="shared" si="4"/>
        <v>0</v>
      </c>
    </row>
    <row r="49" spans="3:17" x14ac:dyDescent="0.25">
      <c r="C49" s="145"/>
      <c r="D49" s="151"/>
      <c r="E49" s="118"/>
      <c r="F49" s="97">
        <f t="shared" si="0"/>
        <v>0</v>
      </c>
      <c r="G49" s="161"/>
      <c r="H49" s="146"/>
      <c r="I49" s="130" t="e">
        <f>VLOOKUP(H49,Presupuesto!$B$11:$C$565,2,0)</f>
        <v>#N/A</v>
      </c>
      <c r="J49" s="98" t="str">
        <f t="shared" si="3"/>
        <v>Investigación Científica</v>
      </c>
      <c r="K49" s="98" t="s">
        <v>410</v>
      </c>
      <c r="L49" s="145"/>
      <c r="M49" s="151"/>
      <c r="N49" s="118"/>
      <c r="O49" s="97">
        <f t="shared" si="1"/>
        <v>0</v>
      </c>
      <c r="P49" s="97">
        <f t="shared" si="4"/>
        <v>0</v>
      </c>
      <c r="Q49" s="97">
        <f t="shared" si="4"/>
        <v>0</v>
      </c>
    </row>
    <row r="50" spans="3:17" ht="15.75" thickBot="1" x14ac:dyDescent="0.3">
      <c r="C50" s="147"/>
      <c r="D50" s="159"/>
      <c r="E50" s="103"/>
      <c r="F50" s="105">
        <f t="shared" si="0"/>
        <v>0</v>
      </c>
      <c r="G50" s="162"/>
      <c r="H50" s="148"/>
      <c r="I50" s="132" t="e">
        <f>VLOOKUP(H50,Presupuesto!$B$11:$C$565,2,0)</f>
        <v>#N/A</v>
      </c>
      <c r="J50" s="106" t="str">
        <f>$J$17</f>
        <v>Investigación Científica</v>
      </c>
      <c r="K50" s="124" t="s">
        <v>392</v>
      </c>
      <c r="L50" s="147"/>
      <c r="M50" s="159"/>
      <c r="N50" s="103"/>
      <c r="O50" s="105">
        <f t="shared" si="1"/>
        <v>0</v>
      </c>
      <c r="P50" s="105">
        <f t="shared" si="4"/>
        <v>0</v>
      </c>
      <c r="Q50" s="105">
        <f t="shared" si="4"/>
        <v>0</v>
      </c>
    </row>
    <row r="51" spans="3:17" x14ac:dyDescent="0.25">
      <c r="G51" s="86"/>
    </row>
    <row r="52" spans="3:17" ht="15.75" thickBot="1" x14ac:dyDescent="0.3">
      <c r="G52" s="86"/>
    </row>
    <row r="53" spans="3:17" ht="15.75" thickBot="1" x14ac:dyDescent="0.3">
      <c r="C53" s="157" t="s">
        <v>53</v>
      </c>
      <c r="D53" s="372">
        <f>SUM(F60:F93)</f>
        <v>0</v>
      </c>
      <c r="G53" s="79"/>
      <c r="H53" s="70"/>
      <c r="I53" s="70"/>
    </row>
    <row r="54" spans="3:17" x14ac:dyDescent="0.25">
      <c r="G54" s="79"/>
      <c r="H54" s="70"/>
      <c r="I54" s="70"/>
    </row>
    <row r="55" spans="3:17" x14ac:dyDescent="0.25">
      <c r="F55" s="70"/>
      <c r="G55" s="79"/>
      <c r="H55" s="70"/>
      <c r="I55" s="70"/>
    </row>
    <row r="56" spans="3:17" ht="15.75" x14ac:dyDescent="0.25">
      <c r="C56" s="301" t="s">
        <v>390</v>
      </c>
      <c r="D56" s="368"/>
      <c r="F56" s="70"/>
      <c r="G56" s="79"/>
      <c r="H56" s="70"/>
      <c r="I56" s="70"/>
    </row>
    <row r="57" spans="3:17" ht="18.75" x14ac:dyDescent="0.25">
      <c r="C57" s="210" t="e">
        <f>IFERROR(VLOOKUP(D56,'1. Desarrollo e Innov. Curricu.'!$F:$G,2,FALSE),IFERROR(VLOOKUP(D56,'2. Investigación Científica'!$F:$G,2,FALSE),IFERROR(VLOOKUP(D56,'3. Vinculación Univ. Sociedad'!$F:$G,2,FALSE),IFERROR(VLOOKUP(D56,'4. Docencia y Profesorado Univ.'!$F:$G,2,FALSE),IFERROR(VLOOKUP(D56,'5. Estudiantes y Graduados'!$F:$G,2,FALSE),IFERROR(VLOOKUP(D56,'11. Gestion Administrativa'!$F:$G,2,FALSE),IFERROR(VLOOKUP(D56,'13. Gestión Académica'!$F:$G,2,FALSE),IFERROR(VLOOKUP(D56,'9. Asegura. de la Calid. y M'!$F:$G,2,FALSE),IFERROR(VLOOKUP(D56,'6. Gestión del Conocimiento'!$F:$G,2,FALSE),IFERROR(VLOOKUP(D56,'15. Gobernabilidad y Proceso...'!$G:$H,2,FALSE),IFERROR(VLOOKUP(D56,'12. Gestión del Talento Humano'!$F:$G,2,FALSE),IFERROR(VLOOKUP(D56,'14. Internacional... de la E.S.'!$F:$G,2,FALSE),IFERROR(VLOOKUP(D56,'10. Posgrado'!$F:$G,2,FALSE),IFERROR(VLOOKUP(D56,'17. Gestión TIC'!$F:$G,2,FALSE),IFERROR(VLOOKUP(D56,'16. Desa. del Sistema Educ.Sup.'!$F:$G,2,FALSE),IFERROR(VLOOKUP(D56,'8. Cultura de Inno. Insti...'!$F:$G,2,FALSE),VLOOKUP(D56,'7. Lo Esencial de la Reforma U.'!$G:$H,2,0)))))))))))))))))</f>
        <v>#N/A</v>
      </c>
      <c r="D57" s="31"/>
      <c r="F57" s="70"/>
      <c r="G57" s="79"/>
      <c r="H57" s="70"/>
      <c r="I57" s="70"/>
    </row>
    <row r="58" spans="3:17" ht="42.75" thickBot="1" x14ac:dyDescent="0.3">
      <c r="F58" s="93"/>
      <c r="G58" s="76"/>
      <c r="H58" s="76"/>
      <c r="I58" s="76"/>
      <c r="L58" s="226"/>
      <c r="M58" s="227"/>
      <c r="N58" s="226"/>
      <c r="O58" s="226"/>
      <c r="P58" s="229" t="s">
        <v>467</v>
      </c>
      <c r="Q58" s="229" t="s">
        <v>468</v>
      </c>
    </row>
    <row r="59" spans="3:17" ht="30.75" thickBot="1" x14ac:dyDescent="0.3">
      <c r="C59" s="129" t="s">
        <v>44</v>
      </c>
      <c r="D59" s="129" t="s">
        <v>55</v>
      </c>
      <c r="E59" s="136" t="s">
        <v>57</v>
      </c>
      <c r="F59" s="135" t="s">
        <v>27</v>
      </c>
      <c r="G59" s="133" t="s">
        <v>129</v>
      </c>
      <c r="H59" s="136" t="s">
        <v>46</v>
      </c>
      <c r="I59" s="133" t="s">
        <v>130</v>
      </c>
      <c r="J59" s="133" t="s">
        <v>408</v>
      </c>
      <c r="K59" s="133" t="s">
        <v>409</v>
      </c>
      <c r="L59" s="223" t="s">
        <v>21</v>
      </c>
      <c r="M59" s="223" t="s">
        <v>55</v>
      </c>
      <c r="N59" s="224" t="s">
        <v>465</v>
      </c>
      <c r="O59" s="225" t="s">
        <v>466</v>
      </c>
      <c r="P59" s="228">
        <v>0.7</v>
      </c>
      <c r="Q59" s="228">
        <v>0.3</v>
      </c>
    </row>
    <row r="60" spans="3:17" x14ac:dyDescent="0.25">
      <c r="C60" s="141"/>
      <c r="D60" s="158"/>
      <c r="E60" s="123"/>
      <c r="F60" s="97">
        <f t="shared" ref="F60:F93" si="5">D60*E60</f>
        <v>0</v>
      </c>
      <c r="G60" s="161"/>
      <c r="H60" s="142"/>
      <c r="I60" s="130" t="e">
        <f>VLOOKUP(H60,Presupuesto!$B$11:$C$565,2,0)</f>
        <v>#N/A</v>
      </c>
      <c r="J60" s="218" t="s">
        <v>1357</v>
      </c>
      <c r="K60" s="98" t="s">
        <v>410</v>
      </c>
      <c r="L60" s="141"/>
      <c r="M60" s="158"/>
      <c r="N60" s="123"/>
      <c r="O60" s="97">
        <f t="shared" ref="O60:O93" si="6">M60*N60</f>
        <v>0</v>
      </c>
      <c r="P60" s="97">
        <f t="shared" ref="P60:Q79" si="7">$O60*P$16</f>
        <v>0</v>
      </c>
      <c r="Q60" s="97">
        <f t="shared" si="7"/>
        <v>0</v>
      </c>
    </row>
    <row r="61" spans="3:17" x14ac:dyDescent="0.25">
      <c r="C61" s="141"/>
      <c r="D61" s="158"/>
      <c r="E61" s="123"/>
      <c r="F61" s="97">
        <f t="shared" si="5"/>
        <v>0</v>
      </c>
      <c r="G61" s="161"/>
      <c r="H61" s="142"/>
      <c r="I61" s="130" t="e">
        <f>VLOOKUP(H61,Presupuesto!$B$11:$C$565,2,0)</f>
        <v>#N/A</v>
      </c>
      <c r="J61" s="98" t="str">
        <f>$J$60</f>
        <v>Investigación Científica</v>
      </c>
      <c r="K61" s="98" t="s">
        <v>410</v>
      </c>
      <c r="L61" s="141"/>
      <c r="M61" s="158"/>
      <c r="N61" s="123"/>
      <c r="O61" s="97">
        <f t="shared" si="6"/>
        <v>0</v>
      </c>
      <c r="P61" s="97">
        <f t="shared" si="7"/>
        <v>0</v>
      </c>
      <c r="Q61" s="97">
        <f t="shared" si="7"/>
        <v>0</v>
      </c>
    </row>
    <row r="62" spans="3:17" x14ac:dyDescent="0.25">
      <c r="C62" s="141"/>
      <c r="D62" s="158"/>
      <c r="E62" s="123"/>
      <c r="F62" s="97">
        <f t="shared" si="5"/>
        <v>0</v>
      </c>
      <c r="G62" s="161"/>
      <c r="H62" s="142"/>
      <c r="I62" s="130" t="e">
        <f>VLOOKUP(H62,Presupuesto!$B$11:$C$565,2,0)</f>
        <v>#N/A</v>
      </c>
      <c r="J62" s="98" t="str">
        <f t="shared" ref="J62:J93" si="8">$J$60</f>
        <v>Investigación Científica</v>
      </c>
      <c r="K62" s="98" t="s">
        <v>410</v>
      </c>
      <c r="L62" s="141"/>
      <c r="M62" s="158"/>
      <c r="N62" s="123"/>
      <c r="O62" s="97">
        <f t="shared" si="6"/>
        <v>0</v>
      </c>
      <c r="P62" s="97">
        <f t="shared" si="7"/>
        <v>0</v>
      </c>
      <c r="Q62" s="97">
        <f t="shared" si="7"/>
        <v>0</v>
      </c>
    </row>
    <row r="63" spans="3:17" x14ac:dyDescent="0.25">
      <c r="C63" s="141"/>
      <c r="D63" s="158"/>
      <c r="E63" s="123"/>
      <c r="F63" s="97">
        <f t="shared" si="5"/>
        <v>0</v>
      </c>
      <c r="G63" s="161"/>
      <c r="H63" s="142"/>
      <c r="I63" s="130" t="e">
        <f>VLOOKUP(H63,Presupuesto!$B$11:$C$565,2,0)</f>
        <v>#N/A</v>
      </c>
      <c r="J63" s="98" t="str">
        <f t="shared" si="8"/>
        <v>Investigación Científica</v>
      </c>
      <c r="K63" s="98" t="s">
        <v>410</v>
      </c>
      <c r="L63" s="141"/>
      <c r="M63" s="158"/>
      <c r="N63" s="123"/>
      <c r="O63" s="97">
        <f t="shared" si="6"/>
        <v>0</v>
      </c>
      <c r="P63" s="97">
        <f t="shared" si="7"/>
        <v>0</v>
      </c>
      <c r="Q63" s="97">
        <f t="shared" si="7"/>
        <v>0</v>
      </c>
    </row>
    <row r="64" spans="3:17" x14ac:dyDescent="0.25">
      <c r="C64" s="141"/>
      <c r="D64" s="158"/>
      <c r="E64" s="123"/>
      <c r="F64" s="97">
        <f t="shared" si="5"/>
        <v>0</v>
      </c>
      <c r="G64" s="161"/>
      <c r="H64" s="142"/>
      <c r="I64" s="130" t="e">
        <f>VLOOKUP(H64,Presupuesto!$B$11:$C$565,2,0)</f>
        <v>#N/A</v>
      </c>
      <c r="J64" s="98" t="str">
        <f t="shared" si="8"/>
        <v>Investigación Científica</v>
      </c>
      <c r="K64" s="98" t="s">
        <v>399</v>
      </c>
      <c r="L64" s="141"/>
      <c r="M64" s="158"/>
      <c r="N64" s="123"/>
      <c r="O64" s="97">
        <f t="shared" si="6"/>
        <v>0</v>
      </c>
      <c r="P64" s="97">
        <f t="shared" si="7"/>
        <v>0</v>
      </c>
      <c r="Q64" s="97">
        <f t="shared" si="7"/>
        <v>0</v>
      </c>
    </row>
    <row r="65" spans="3:17" x14ac:dyDescent="0.25">
      <c r="C65" s="141"/>
      <c r="D65" s="158"/>
      <c r="E65" s="123"/>
      <c r="F65" s="97">
        <f t="shared" si="5"/>
        <v>0</v>
      </c>
      <c r="G65" s="161"/>
      <c r="H65" s="142"/>
      <c r="I65" s="130" t="e">
        <f>VLOOKUP(H65,Presupuesto!$B$11:$C$565,2,0)</f>
        <v>#N/A</v>
      </c>
      <c r="J65" s="98" t="str">
        <f t="shared" si="8"/>
        <v>Investigación Científica</v>
      </c>
      <c r="K65" s="98" t="s">
        <v>410</v>
      </c>
      <c r="L65" s="141"/>
      <c r="M65" s="158"/>
      <c r="N65" s="123"/>
      <c r="O65" s="97">
        <f t="shared" si="6"/>
        <v>0</v>
      </c>
      <c r="P65" s="97">
        <f t="shared" si="7"/>
        <v>0</v>
      </c>
      <c r="Q65" s="97">
        <f t="shared" si="7"/>
        <v>0</v>
      </c>
    </row>
    <row r="66" spans="3:17" x14ac:dyDescent="0.25">
      <c r="C66" s="141"/>
      <c r="D66" s="158"/>
      <c r="E66" s="123"/>
      <c r="F66" s="97">
        <f t="shared" si="5"/>
        <v>0</v>
      </c>
      <c r="G66" s="161"/>
      <c r="H66" s="142"/>
      <c r="I66" s="130" t="e">
        <f>VLOOKUP(H66,Presupuesto!$B$11:$C$565,2,0)</f>
        <v>#N/A</v>
      </c>
      <c r="J66" s="98" t="str">
        <f t="shared" si="8"/>
        <v>Investigación Científica</v>
      </c>
      <c r="K66" s="98" t="s">
        <v>410</v>
      </c>
      <c r="L66" s="141"/>
      <c r="M66" s="158"/>
      <c r="N66" s="123"/>
      <c r="O66" s="97">
        <f t="shared" si="6"/>
        <v>0</v>
      </c>
      <c r="P66" s="97">
        <f t="shared" si="7"/>
        <v>0</v>
      </c>
      <c r="Q66" s="97">
        <f t="shared" si="7"/>
        <v>0</v>
      </c>
    </row>
    <row r="67" spans="3:17" x14ac:dyDescent="0.25">
      <c r="C67" s="141"/>
      <c r="D67" s="158"/>
      <c r="E67" s="123"/>
      <c r="F67" s="97">
        <f t="shared" si="5"/>
        <v>0</v>
      </c>
      <c r="G67" s="161"/>
      <c r="H67" s="142"/>
      <c r="I67" s="130" t="e">
        <f>VLOOKUP(H67,Presupuesto!$B$11:$C$565,2,0)</f>
        <v>#N/A</v>
      </c>
      <c r="J67" s="98" t="str">
        <f t="shared" si="8"/>
        <v>Investigación Científica</v>
      </c>
      <c r="K67" s="98" t="s">
        <v>410</v>
      </c>
      <c r="L67" s="141"/>
      <c r="M67" s="158"/>
      <c r="N67" s="123"/>
      <c r="O67" s="97">
        <f t="shared" si="6"/>
        <v>0</v>
      </c>
      <c r="P67" s="97">
        <f t="shared" si="7"/>
        <v>0</v>
      </c>
      <c r="Q67" s="97">
        <f t="shared" si="7"/>
        <v>0</v>
      </c>
    </row>
    <row r="68" spans="3:17" x14ac:dyDescent="0.25">
      <c r="C68" s="141"/>
      <c r="D68" s="158"/>
      <c r="E68" s="123"/>
      <c r="F68" s="97">
        <f t="shared" si="5"/>
        <v>0</v>
      </c>
      <c r="G68" s="161"/>
      <c r="H68" s="142"/>
      <c r="I68" s="130" t="e">
        <f>VLOOKUP(H68,Presupuesto!$B$11:$C$565,2,0)</f>
        <v>#N/A</v>
      </c>
      <c r="J68" s="98" t="str">
        <f t="shared" si="8"/>
        <v>Investigación Científica</v>
      </c>
      <c r="K68" s="98" t="s">
        <v>410</v>
      </c>
      <c r="L68" s="141"/>
      <c r="M68" s="158"/>
      <c r="N68" s="123"/>
      <c r="O68" s="97">
        <f t="shared" si="6"/>
        <v>0</v>
      </c>
      <c r="P68" s="97">
        <f t="shared" si="7"/>
        <v>0</v>
      </c>
      <c r="Q68" s="97">
        <f t="shared" si="7"/>
        <v>0</v>
      </c>
    </row>
    <row r="69" spans="3:17" x14ac:dyDescent="0.25">
      <c r="C69" s="141"/>
      <c r="D69" s="158"/>
      <c r="E69" s="123"/>
      <c r="F69" s="97">
        <f t="shared" si="5"/>
        <v>0</v>
      </c>
      <c r="G69" s="161"/>
      <c r="H69" s="142"/>
      <c r="I69" s="130" t="e">
        <f>VLOOKUP(H69,Presupuesto!$B$11:$C$565,2,0)</f>
        <v>#N/A</v>
      </c>
      <c r="J69" s="98" t="str">
        <f t="shared" si="8"/>
        <v>Investigación Científica</v>
      </c>
      <c r="K69" s="98" t="s">
        <v>410</v>
      </c>
      <c r="L69" s="141"/>
      <c r="M69" s="158"/>
      <c r="N69" s="123"/>
      <c r="O69" s="97">
        <f t="shared" si="6"/>
        <v>0</v>
      </c>
      <c r="P69" s="97">
        <f t="shared" si="7"/>
        <v>0</v>
      </c>
      <c r="Q69" s="97">
        <f t="shared" si="7"/>
        <v>0</v>
      </c>
    </row>
    <row r="70" spans="3:17" x14ac:dyDescent="0.25">
      <c r="C70" s="141"/>
      <c r="D70" s="158"/>
      <c r="E70" s="123"/>
      <c r="F70" s="97">
        <f t="shared" si="5"/>
        <v>0</v>
      </c>
      <c r="G70" s="161"/>
      <c r="H70" s="142"/>
      <c r="I70" s="130" t="e">
        <f>VLOOKUP(H70,Presupuesto!$B$11:$C$565,2,0)</f>
        <v>#N/A</v>
      </c>
      <c r="J70" s="98" t="str">
        <f t="shared" si="8"/>
        <v>Investigación Científica</v>
      </c>
      <c r="K70" s="98" t="s">
        <v>410</v>
      </c>
      <c r="L70" s="141"/>
      <c r="M70" s="158"/>
      <c r="N70" s="123"/>
      <c r="O70" s="97">
        <f t="shared" si="6"/>
        <v>0</v>
      </c>
      <c r="P70" s="97">
        <f t="shared" si="7"/>
        <v>0</v>
      </c>
      <c r="Q70" s="97">
        <f t="shared" si="7"/>
        <v>0</v>
      </c>
    </row>
    <row r="71" spans="3:17" x14ac:dyDescent="0.25">
      <c r="C71" s="141"/>
      <c r="D71" s="158"/>
      <c r="E71" s="123"/>
      <c r="F71" s="97">
        <f t="shared" si="5"/>
        <v>0</v>
      </c>
      <c r="G71" s="161"/>
      <c r="H71" s="142"/>
      <c r="I71" s="130" t="e">
        <f>VLOOKUP(H71,Presupuesto!$B$11:$C$565,2,0)</f>
        <v>#N/A</v>
      </c>
      <c r="J71" s="98" t="str">
        <f t="shared" si="8"/>
        <v>Investigación Científica</v>
      </c>
      <c r="K71" s="98" t="s">
        <v>410</v>
      </c>
      <c r="L71" s="141"/>
      <c r="M71" s="158"/>
      <c r="N71" s="123"/>
      <c r="O71" s="97">
        <f t="shared" si="6"/>
        <v>0</v>
      </c>
      <c r="P71" s="97">
        <f t="shared" si="7"/>
        <v>0</v>
      </c>
      <c r="Q71" s="97">
        <f t="shared" si="7"/>
        <v>0</v>
      </c>
    </row>
    <row r="72" spans="3:17" x14ac:dyDescent="0.25">
      <c r="C72" s="141"/>
      <c r="D72" s="158"/>
      <c r="E72" s="123"/>
      <c r="F72" s="97">
        <f t="shared" si="5"/>
        <v>0</v>
      </c>
      <c r="G72" s="161"/>
      <c r="H72" s="142"/>
      <c r="I72" s="130" t="e">
        <f>VLOOKUP(H72,Presupuesto!$B$11:$C$565,2,0)</f>
        <v>#N/A</v>
      </c>
      <c r="J72" s="98" t="str">
        <f t="shared" si="8"/>
        <v>Investigación Científica</v>
      </c>
      <c r="K72" s="98" t="s">
        <v>410</v>
      </c>
      <c r="L72" s="141"/>
      <c r="M72" s="158"/>
      <c r="N72" s="123"/>
      <c r="O72" s="97">
        <f t="shared" si="6"/>
        <v>0</v>
      </c>
      <c r="P72" s="97">
        <f t="shared" si="7"/>
        <v>0</v>
      </c>
      <c r="Q72" s="97">
        <f t="shared" si="7"/>
        <v>0</v>
      </c>
    </row>
    <row r="73" spans="3:17" x14ac:dyDescent="0.25">
      <c r="C73" s="141"/>
      <c r="D73" s="158"/>
      <c r="E73" s="123"/>
      <c r="F73" s="97">
        <f t="shared" si="5"/>
        <v>0</v>
      </c>
      <c r="G73" s="161"/>
      <c r="H73" s="142"/>
      <c r="I73" s="130" t="e">
        <f>VLOOKUP(H73,Presupuesto!$B$11:$C$565,2,0)</f>
        <v>#N/A</v>
      </c>
      <c r="J73" s="98" t="str">
        <f t="shared" si="8"/>
        <v>Investigación Científica</v>
      </c>
      <c r="K73" s="98" t="s">
        <v>410</v>
      </c>
      <c r="L73" s="141"/>
      <c r="M73" s="158"/>
      <c r="N73" s="123"/>
      <c r="O73" s="97">
        <f t="shared" si="6"/>
        <v>0</v>
      </c>
      <c r="P73" s="97">
        <f t="shared" si="7"/>
        <v>0</v>
      </c>
      <c r="Q73" s="97">
        <f t="shared" si="7"/>
        <v>0</v>
      </c>
    </row>
    <row r="74" spans="3:17" x14ac:dyDescent="0.25">
      <c r="C74" s="141"/>
      <c r="D74" s="158"/>
      <c r="E74" s="123"/>
      <c r="F74" s="97">
        <f t="shared" si="5"/>
        <v>0</v>
      </c>
      <c r="G74" s="161"/>
      <c r="H74" s="142"/>
      <c r="I74" s="130" t="e">
        <f>VLOOKUP(H74,Presupuesto!$B$11:$C$565,2,0)</f>
        <v>#N/A</v>
      </c>
      <c r="J74" s="98" t="str">
        <f t="shared" si="8"/>
        <v>Investigación Científica</v>
      </c>
      <c r="K74" s="98" t="s">
        <v>410</v>
      </c>
      <c r="L74" s="141"/>
      <c r="M74" s="158"/>
      <c r="N74" s="123"/>
      <c r="O74" s="97">
        <f t="shared" si="6"/>
        <v>0</v>
      </c>
      <c r="P74" s="97">
        <f t="shared" si="7"/>
        <v>0</v>
      </c>
      <c r="Q74" s="97">
        <f t="shared" si="7"/>
        <v>0</v>
      </c>
    </row>
    <row r="75" spans="3:17" x14ac:dyDescent="0.25">
      <c r="C75" s="141"/>
      <c r="D75" s="158"/>
      <c r="E75" s="123"/>
      <c r="F75" s="97">
        <f t="shared" si="5"/>
        <v>0</v>
      </c>
      <c r="G75" s="161"/>
      <c r="H75" s="142"/>
      <c r="I75" s="130" t="e">
        <f>VLOOKUP(H75,Presupuesto!$B$11:$C$565,2,0)</f>
        <v>#N/A</v>
      </c>
      <c r="J75" s="98" t="str">
        <f t="shared" si="8"/>
        <v>Investigación Científica</v>
      </c>
      <c r="K75" s="98" t="s">
        <v>410</v>
      </c>
      <c r="L75" s="141"/>
      <c r="M75" s="158"/>
      <c r="N75" s="123"/>
      <c r="O75" s="97">
        <f t="shared" si="6"/>
        <v>0</v>
      </c>
      <c r="P75" s="97">
        <f t="shared" si="7"/>
        <v>0</v>
      </c>
      <c r="Q75" s="97">
        <f t="shared" si="7"/>
        <v>0</v>
      </c>
    </row>
    <row r="76" spans="3:17" x14ac:dyDescent="0.25">
      <c r="C76" s="141"/>
      <c r="D76" s="158"/>
      <c r="E76" s="123"/>
      <c r="F76" s="97">
        <f t="shared" si="5"/>
        <v>0</v>
      </c>
      <c r="G76" s="161"/>
      <c r="H76" s="142"/>
      <c r="I76" s="130" t="e">
        <f>VLOOKUP(H76,Presupuesto!$B$11:$C$565,2,0)</f>
        <v>#N/A</v>
      </c>
      <c r="J76" s="98" t="str">
        <f t="shared" si="8"/>
        <v>Investigación Científica</v>
      </c>
      <c r="K76" s="98" t="s">
        <v>410</v>
      </c>
      <c r="L76" s="141"/>
      <c r="M76" s="158"/>
      <c r="N76" s="123"/>
      <c r="O76" s="97">
        <f t="shared" si="6"/>
        <v>0</v>
      </c>
      <c r="P76" s="97">
        <f t="shared" si="7"/>
        <v>0</v>
      </c>
      <c r="Q76" s="97">
        <f t="shared" si="7"/>
        <v>0</v>
      </c>
    </row>
    <row r="77" spans="3:17" x14ac:dyDescent="0.25">
      <c r="C77" s="141"/>
      <c r="D77" s="158"/>
      <c r="E77" s="123"/>
      <c r="F77" s="97">
        <f t="shared" si="5"/>
        <v>0</v>
      </c>
      <c r="G77" s="161"/>
      <c r="H77" s="142"/>
      <c r="I77" s="130" t="e">
        <f>VLOOKUP(H77,Presupuesto!$B$11:$C$565,2,0)</f>
        <v>#N/A</v>
      </c>
      <c r="J77" s="98" t="str">
        <f t="shared" si="8"/>
        <v>Investigación Científica</v>
      </c>
      <c r="K77" s="98" t="s">
        <v>410</v>
      </c>
      <c r="L77" s="141"/>
      <c r="M77" s="158"/>
      <c r="N77" s="123"/>
      <c r="O77" s="97">
        <f t="shared" si="6"/>
        <v>0</v>
      </c>
      <c r="P77" s="97">
        <f t="shared" si="7"/>
        <v>0</v>
      </c>
      <c r="Q77" s="97">
        <f t="shared" si="7"/>
        <v>0</v>
      </c>
    </row>
    <row r="78" spans="3:17" x14ac:dyDescent="0.25">
      <c r="C78" s="141"/>
      <c r="D78" s="158"/>
      <c r="E78" s="123"/>
      <c r="F78" s="97">
        <f t="shared" si="5"/>
        <v>0</v>
      </c>
      <c r="G78" s="161"/>
      <c r="H78" s="142"/>
      <c r="I78" s="130" t="e">
        <f>VLOOKUP(H78,Presupuesto!$B$11:$C$565,2,0)</f>
        <v>#N/A</v>
      </c>
      <c r="J78" s="98" t="str">
        <f t="shared" si="8"/>
        <v>Investigación Científica</v>
      </c>
      <c r="K78" s="98" t="s">
        <v>410</v>
      </c>
      <c r="L78" s="141"/>
      <c r="M78" s="158"/>
      <c r="N78" s="123"/>
      <c r="O78" s="97">
        <f t="shared" si="6"/>
        <v>0</v>
      </c>
      <c r="P78" s="97">
        <f t="shared" si="7"/>
        <v>0</v>
      </c>
      <c r="Q78" s="97">
        <f t="shared" si="7"/>
        <v>0</v>
      </c>
    </row>
    <row r="79" spans="3:17" x14ac:dyDescent="0.25">
      <c r="C79" s="141"/>
      <c r="D79" s="158"/>
      <c r="E79" s="123"/>
      <c r="F79" s="97">
        <f t="shared" si="5"/>
        <v>0</v>
      </c>
      <c r="G79" s="161"/>
      <c r="H79" s="142"/>
      <c r="I79" s="130" t="e">
        <f>VLOOKUP(H79,Presupuesto!$B$11:$C$565,2,0)</f>
        <v>#N/A</v>
      </c>
      <c r="J79" s="98" t="str">
        <f t="shared" si="8"/>
        <v>Investigación Científica</v>
      </c>
      <c r="K79" s="98" t="s">
        <v>410</v>
      </c>
      <c r="L79" s="141"/>
      <c r="M79" s="158"/>
      <c r="N79" s="123"/>
      <c r="O79" s="97">
        <f t="shared" si="6"/>
        <v>0</v>
      </c>
      <c r="P79" s="97">
        <f t="shared" si="7"/>
        <v>0</v>
      </c>
      <c r="Q79" s="97">
        <f t="shared" si="7"/>
        <v>0</v>
      </c>
    </row>
    <row r="80" spans="3:17" x14ac:dyDescent="0.25">
      <c r="C80" s="141"/>
      <c r="D80" s="158"/>
      <c r="E80" s="123"/>
      <c r="F80" s="97">
        <f t="shared" si="5"/>
        <v>0</v>
      </c>
      <c r="G80" s="161"/>
      <c r="H80" s="142"/>
      <c r="I80" s="130" t="e">
        <f>VLOOKUP(H80,Presupuesto!$B$11:$C$565,2,0)</f>
        <v>#N/A</v>
      </c>
      <c r="J80" s="98" t="str">
        <f t="shared" si="8"/>
        <v>Investigación Científica</v>
      </c>
      <c r="K80" s="98" t="s">
        <v>410</v>
      </c>
      <c r="L80" s="141"/>
      <c r="M80" s="158"/>
      <c r="N80" s="123"/>
      <c r="O80" s="97">
        <f t="shared" si="6"/>
        <v>0</v>
      </c>
      <c r="P80" s="97">
        <f t="shared" ref="P80:Q93" si="9">$O80*P$16</f>
        <v>0</v>
      </c>
      <c r="Q80" s="97">
        <f t="shared" si="9"/>
        <v>0</v>
      </c>
    </row>
    <row r="81" spans="3:17" x14ac:dyDescent="0.25">
      <c r="C81" s="143"/>
      <c r="D81" s="151"/>
      <c r="E81" s="118"/>
      <c r="F81" s="97">
        <f t="shared" si="5"/>
        <v>0</v>
      </c>
      <c r="G81" s="161"/>
      <c r="H81" s="144"/>
      <c r="I81" s="130" t="e">
        <f>VLOOKUP(H81,Presupuesto!$B$11:$C$565,2,0)</f>
        <v>#N/A</v>
      </c>
      <c r="J81" s="98" t="str">
        <f t="shared" si="8"/>
        <v>Investigación Científica</v>
      </c>
      <c r="K81" s="98" t="s">
        <v>410</v>
      </c>
      <c r="L81" s="143"/>
      <c r="M81" s="151"/>
      <c r="N81" s="118"/>
      <c r="O81" s="97">
        <f t="shared" si="6"/>
        <v>0</v>
      </c>
      <c r="P81" s="97">
        <f t="shared" si="9"/>
        <v>0</v>
      </c>
      <c r="Q81" s="97">
        <f t="shared" si="9"/>
        <v>0</v>
      </c>
    </row>
    <row r="82" spans="3:17" x14ac:dyDescent="0.25">
      <c r="C82" s="143"/>
      <c r="D82" s="151"/>
      <c r="E82" s="118"/>
      <c r="F82" s="97">
        <f t="shared" si="5"/>
        <v>0</v>
      </c>
      <c r="G82" s="161"/>
      <c r="H82" s="144"/>
      <c r="I82" s="130" t="e">
        <f>VLOOKUP(H82,Presupuesto!$B$11:$C$565,2,0)</f>
        <v>#N/A</v>
      </c>
      <c r="J82" s="98" t="str">
        <f t="shared" si="8"/>
        <v>Investigación Científica</v>
      </c>
      <c r="K82" s="98" t="s">
        <v>410</v>
      </c>
      <c r="L82" s="143"/>
      <c r="M82" s="151"/>
      <c r="N82" s="118"/>
      <c r="O82" s="97">
        <f t="shared" si="6"/>
        <v>0</v>
      </c>
      <c r="P82" s="97">
        <f t="shared" si="9"/>
        <v>0</v>
      </c>
      <c r="Q82" s="97">
        <f t="shared" si="9"/>
        <v>0</v>
      </c>
    </row>
    <row r="83" spans="3:17" x14ac:dyDescent="0.25">
      <c r="C83" s="143"/>
      <c r="D83" s="151"/>
      <c r="E83" s="118"/>
      <c r="F83" s="97">
        <f t="shared" si="5"/>
        <v>0</v>
      </c>
      <c r="G83" s="161"/>
      <c r="H83" s="144"/>
      <c r="I83" s="130" t="e">
        <f>VLOOKUP(H83,Presupuesto!$B$11:$C$565,2,0)</f>
        <v>#N/A</v>
      </c>
      <c r="J83" s="98" t="str">
        <f t="shared" si="8"/>
        <v>Investigación Científica</v>
      </c>
      <c r="K83" s="98" t="s">
        <v>410</v>
      </c>
      <c r="L83" s="143"/>
      <c r="M83" s="151"/>
      <c r="N83" s="118"/>
      <c r="O83" s="97">
        <f t="shared" si="6"/>
        <v>0</v>
      </c>
      <c r="P83" s="97">
        <f t="shared" si="9"/>
        <v>0</v>
      </c>
      <c r="Q83" s="97">
        <f t="shared" si="9"/>
        <v>0</v>
      </c>
    </row>
    <row r="84" spans="3:17" x14ac:dyDescent="0.25">
      <c r="C84" s="143"/>
      <c r="D84" s="151"/>
      <c r="E84" s="118"/>
      <c r="F84" s="97">
        <f t="shared" si="5"/>
        <v>0</v>
      </c>
      <c r="G84" s="161"/>
      <c r="H84" s="144"/>
      <c r="I84" s="130" t="e">
        <f>VLOOKUP(H84,Presupuesto!$B$11:$C$565,2,0)</f>
        <v>#N/A</v>
      </c>
      <c r="J84" s="98" t="str">
        <f t="shared" si="8"/>
        <v>Investigación Científica</v>
      </c>
      <c r="K84" s="98" t="s">
        <v>410</v>
      </c>
      <c r="L84" s="143"/>
      <c r="M84" s="151"/>
      <c r="N84" s="118"/>
      <c r="O84" s="97">
        <f t="shared" si="6"/>
        <v>0</v>
      </c>
      <c r="P84" s="97">
        <f t="shared" si="9"/>
        <v>0</v>
      </c>
      <c r="Q84" s="97">
        <f t="shared" si="9"/>
        <v>0</v>
      </c>
    </row>
    <row r="85" spans="3:17" x14ac:dyDescent="0.25">
      <c r="C85" s="143"/>
      <c r="D85" s="151"/>
      <c r="E85" s="118"/>
      <c r="F85" s="97">
        <f t="shared" si="5"/>
        <v>0</v>
      </c>
      <c r="G85" s="161"/>
      <c r="H85" s="144"/>
      <c r="I85" s="130" t="e">
        <f>VLOOKUP(H85,Presupuesto!$B$11:$C$565,2,0)</f>
        <v>#N/A</v>
      </c>
      <c r="J85" s="98" t="str">
        <f t="shared" si="8"/>
        <v>Investigación Científica</v>
      </c>
      <c r="K85" s="98" t="s">
        <v>410</v>
      </c>
      <c r="L85" s="143"/>
      <c r="M85" s="151"/>
      <c r="N85" s="118"/>
      <c r="O85" s="97">
        <f t="shared" si="6"/>
        <v>0</v>
      </c>
      <c r="P85" s="97">
        <f t="shared" si="9"/>
        <v>0</v>
      </c>
      <c r="Q85" s="97">
        <f t="shared" si="9"/>
        <v>0</v>
      </c>
    </row>
    <row r="86" spans="3:17" x14ac:dyDescent="0.25">
      <c r="C86" s="143"/>
      <c r="D86" s="151"/>
      <c r="E86" s="118"/>
      <c r="F86" s="97">
        <f t="shared" si="5"/>
        <v>0</v>
      </c>
      <c r="G86" s="161"/>
      <c r="H86" s="144"/>
      <c r="I86" s="130" t="e">
        <f>VLOOKUP(H86,Presupuesto!$B$11:$C$565,2,0)</f>
        <v>#N/A</v>
      </c>
      <c r="J86" s="98" t="str">
        <f t="shared" si="8"/>
        <v>Investigación Científica</v>
      </c>
      <c r="K86" s="98" t="s">
        <v>410</v>
      </c>
      <c r="L86" s="143"/>
      <c r="M86" s="151"/>
      <c r="N86" s="118"/>
      <c r="O86" s="97">
        <f t="shared" si="6"/>
        <v>0</v>
      </c>
      <c r="P86" s="97">
        <f t="shared" si="9"/>
        <v>0</v>
      </c>
      <c r="Q86" s="97">
        <f t="shared" si="9"/>
        <v>0</v>
      </c>
    </row>
    <row r="87" spans="3:17" x14ac:dyDescent="0.25">
      <c r="C87" s="143"/>
      <c r="D87" s="151"/>
      <c r="E87" s="118"/>
      <c r="F87" s="97">
        <f t="shared" si="5"/>
        <v>0</v>
      </c>
      <c r="G87" s="161"/>
      <c r="H87" s="144"/>
      <c r="I87" s="130" t="e">
        <f>VLOOKUP(H87,Presupuesto!$B$11:$C$565,2,0)</f>
        <v>#N/A</v>
      </c>
      <c r="J87" s="98" t="str">
        <f t="shared" si="8"/>
        <v>Investigación Científica</v>
      </c>
      <c r="K87" s="98" t="s">
        <v>410</v>
      </c>
      <c r="L87" s="143"/>
      <c r="M87" s="151"/>
      <c r="N87" s="118"/>
      <c r="O87" s="97">
        <f t="shared" si="6"/>
        <v>0</v>
      </c>
      <c r="P87" s="97">
        <f t="shared" si="9"/>
        <v>0</v>
      </c>
      <c r="Q87" s="97">
        <f t="shared" si="9"/>
        <v>0</v>
      </c>
    </row>
    <row r="88" spans="3:17" x14ac:dyDescent="0.25">
      <c r="C88" s="143"/>
      <c r="D88" s="151"/>
      <c r="E88" s="118"/>
      <c r="F88" s="97">
        <f t="shared" si="5"/>
        <v>0</v>
      </c>
      <c r="G88" s="161"/>
      <c r="H88" s="144"/>
      <c r="I88" s="130" t="e">
        <f>VLOOKUP(H88,Presupuesto!$B$11:$C$565,2,0)</f>
        <v>#N/A</v>
      </c>
      <c r="J88" s="98" t="str">
        <f t="shared" si="8"/>
        <v>Investigación Científica</v>
      </c>
      <c r="K88" s="98" t="s">
        <v>410</v>
      </c>
      <c r="L88" s="143"/>
      <c r="M88" s="151"/>
      <c r="N88" s="118"/>
      <c r="O88" s="97">
        <f t="shared" si="6"/>
        <v>0</v>
      </c>
      <c r="P88" s="97">
        <f t="shared" si="9"/>
        <v>0</v>
      </c>
      <c r="Q88" s="97">
        <f t="shared" si="9"/>
        <v>0</v>
      </c>
    </row>
    <row r="89" spans="3:17" x14ac:dyDescent="0.25">
      <c r="C89" s="145"/>
      <c r="D89" s="151"/>
      <c r="E89" s="118"/>
      <c r="F89" s="97">
        <f t="shared" si="5"/>
        <v>0</v>
      </c>
      <c r="G89" s="161"/>
      <c r="H89" s="146"/>
      <c r="I89" s="130" t="e">
        <f>VLOOKUP(H89,Presupuesto!$B$11:$C$565,2,0)</f>
        <v>#N/A</v>
      </c>
      <c r="J89" s="98" t="str">
        <f t="shared" si="8"/>
        <v>Investigación Científica</v>
      </c>
      <c r="K89" s="98" t="s">
        <v>401</v>
      </c>
      <c r="L89" s="145"/>
      <c r="M89" s="151"/>
      <c r="N89" s="118"/>
      <c r="O89" s="97">
        <f t="shared" si="6"/>
        <v>0</v>
      </c>
      <c r="P89" s="97">
        <f t="shared" si="9"/>
        <v>0</v>
      </c>
      <c r="Q89" s="97">
        <f t="shared" si="9"/>
        <v>0</v>
      </c>
    </row>
    <row r="90" spans="3:17" x14ac:dyDescent="0.25">
      <c r="C90" s="145"/>
      <c r="D90" s="151"/>
      <c r="E90" s="118"/>
      <c r="F90" s="97">
        <f t="shared" si="5"/>
        <v>0</v>
      </c>
      <c r="G90" s="161"/>
      <c r="H90" s="146"/>
      <c r="I90" s="130" t="e">
        <f>VLOOKUP(H90,Presupuesto!$B$11:$C$565,2,0)</f>
        <v>#N/A</v>
      </c>
      <c r="J90" s="98" t="str">
        <f t="shared" si="8"/>
        <v>Investigación Científica</v>
      </c>
      <c r="K90" s="98" t="s">
        <v>410</v>
      </c>
      <c r="L90" s="145"/>
      <c r="M90" s="151"/>
      <c r="N90" s="118"/>
      <c r="O90" s="97">
        <f t="shared" si="6"/>
        <v>0</v>
      </c>
      <c r="P90" s="97">
        <f t="shared" si="9"/>
        <v>0</v>
      </c>
      <c r="Q90" s="97">
        <f t="shared" si="9"/>
        <v>0</v>
      </c>
    </row>
    <row r="91" spans="3:17" x14ac:dyDescent="0.25">
      <c r="C91" s="145"/>
      <c r="D91" s="151"/>
      <c r="E91" s="118"/>
      <c r="F91" s="97">
        <f t="shared" si="5"/>
        <v>0</v>
      </c>
      <c r="G91" s="161"/>
      <c r="H91" s="146"/>
      <c r="I91" s="130" t="e">
        <f>VLOOKUP(H91,Presupuesto!$B$11:$C$565,2,0)</f>
        <v>#N/A</v>
      </c>
      <c r="J91" s="98" t="str">
        <f t="shared" si="8"/>
        <v>Investigación Científica</v>
      </c>
      <c r="K91" s="98" t="s">
        <v>410</v>
      </c>
      <c r="L91" s="145"/>
      <c r="M91" s="151"/>
      <c r="N91" s="118"/>
      <c r="O91" s="97">
        <f t="shared" si="6"/>
        <v>0</v>
      </c>
      <c r="P91" s="97">
        <f t="shared" si="9"/>
        <v>0</v>
      </c>
      <c r="Q91" s="97">
        <f t="shared" si="9"/>
        <v>0</v>
      </c>
    </row>
    <row r="92" spans="3:17" x14ac:dyDescent="0.25">
      <c r="C92" s="145"/>
      <c r="D92" s="151"/>
      <c r="E92" s="118"/>
      <c r="F92" s="97">
        <f t="shared" si="5"/>
        <v>0</v>
      </c>
      <c r="G92" s="161"/>
      <c r="H92" s="146"/>
      <c r="I92" s="130" t="e">
        <f>VLOOKUP(H92,Presupuesto!$B$11:$C$565,2,0)</f>
        <v>#N/A</v>
      </c>
      <c r="J92" s="98" t="str">
        <f t="shared" si="8"/>
        <v>Investigación Científica</v>
      </c>
      <c r="K92" s="98" t="s">
        <v>410</v>
      </c>
      <c r="L92" s="145"/>
      <c r="M92" s="151"/>
      <c r="N92" s="118"/>
      <c r="O92" s="97">
        <f t="shared" si="6"/>
        <v>0</v>
      </c>
      <c r="P92" s="97">
        <f t="shared" si="9"/>
        <v>0</v>
      </c>
      <c r="Q92" s="97">
        <f t="shared" si="9"/>
        <v>0</v>
      </c>
    </row>
    <row r="93" spans="3:17" ht="15.75" thickBot="1" x14ac:dyDescent="0.3">
      <c r="C93" s="147"/>
      <c r="D93" s="159"/>
      <c r="E93" s="103"/>
      <c r="F93" s="105">
        <f t="shared" si="5"/>
        <v>0</v>
      </c>
      <c r="G93" s="162"/>
      <c r="H93" s="148"/>
      <c r="I93" s="132" t="e">
        <f>VLOOKUP(H93,Presupuesto!$B$11:$C$565,2,0)</f>
        <v>#N/A</v>
      </c>
      <c r="J93" s="106" t="str">
        <f t="shared" si="8"/>
        <v>Investigación Científica</v>
      </c>
      <c r="K93" s="124" t="s">
        <v>392</v>
      </c>
      <c r="L93" s="147"/>
      <c r="M93" s="159"/>
      <c r="N93" s="103"/>
      <c r="O93" s="105">
        <f t="shared" si="6"/>
        <v>0</v>
      </c>
      <c r="P93" s="105">
        <f t="shared" si="9"/>
        <v>0</v>
      </c>
      <c r="Q93" s="105">
        <f t="shared" si="9"/>
        <v>0</v>
      </c>
    </row>
    <row r="94" spans="3:17" x14ac:dyDescent="0.25">
      <c r="G94" s="86"/>
    </row>
    <row r="95" spans="3:17" ht="15.75" thickBot="1" x14ac:dyDescent="0.3">
      <c r="G95" s="86"/>
    </row>
    <row r="96" spans="3:17" ht="15.75" thickBot="1" x14ac:dyDescent="0.3">
      <c r="C96" s="157" t="s">
        <v>53</v>
      </c>
      <c r="D96" s="372">
        <f>SUM(F103:F136)</f>
        <v>0</v>
      </c>
      <c r="G96" s="79"/>
      <c r="H96" s="70"/>
      <c r="I96" s="70"/>
    </row>
    <row r="97" spans="3:17" x14ac:dyDescent="0.25">
      <c r="G97" s="79"/>
      <c r="H97" s="70"/>
      <c r="I97" s="70"/>
    </row>
    <row r="98" spans="3:17" x14ac:dyDescent="0.25">
      <c r="F98" s="70"/>
      <c r="G98" s="79"/>
      <c r="H98" s="70"/>
      <c r="I98" s="70"/>
    </row>
    <row r="99" spans="3:17" ht="15.75" x14ac:dyDescent="0.25">
      <c r="C99" s="301" t="s">
        <v>390</v>
      </c>
      <c r="D99" s="368"/>
      <c r="F99" s="70"/>
      <c r="G99" s="79"/>
      <c r="H99" s="70"/>
      <c r="I99" s="70"/>
    </row>
    <row r="100" spans="3:17" ht="18.75" x14ac:dyDescent="0.25">
      <c r="C100" s="210" t="e">
        <f>IFERROR(VLOOKUP(D99,'1. Desarrollo e Innov. Curricu.'!$F:$G,2,FALSE),IFERROR(VLOOKUP(D99,'2. Investigación Científica'!$F:$G,2,FALSE),IFERROR(VLOOKUP(D99,'3. Vinculación Univ. Sociedad'!$F:$G,2,FALSE),IFERROR(VLOOKUP(D99,'4. Docencia y Profesorado Univ.'!$F:$G,2,FALSE),IFERROR(VLOOKUP(D99,'5. Estudiantes y Graduados'!$F:$G,2,FALSE),IFERROR(VLOOKUP(D99,'11. Gestion Administrativa'!$F:$G,2,FALSE),IFERROR(VLOOKUP(D99,'13. Gestión Académica'!$F:$G,2,FALSE),IFERROR(VLOOKUP(D99,'9. Asegura. de la Calid. y M'!$F:$G,2,FALSE),IFERROR(VLOOKUP(D99,'6. Gestión del Conocimiento'!$F:$G,2,FALSE),IFERROR(VLOOKUP(D99,'15. Gobernabilidad y Proceso...'!$G:$H,2,FALSE),IFERROR(VLOOKUP(D99,'12. Gestión del Talento Humano'!$F:$G,2,FALSE),IFERROR(VLOOKUP(D99,'14. Internacional... de la E.S.'!$F:$G,2,FALSE),IFERROR(VLOOKUP(D99,'10. Posgrado'!$F:$G,2,FALSE),IFERROR(VLOOKUP(D99,'17. Gestión TIC'!$F:$G,2,FALSE),IFERROR(VLOOKUP(D99,'16. Desa. del Sistema Educ.Sup.'!$F:$G,2,FALSE),IFERROR(VLOOKUP(D99,'8. Cultura de Inno. Insti...'!$F:$G,2,FALSE),VLOOKUP(D99,'7. Lo Esencial de la Reforma U.'!$G:$H,2,0)))))))))))))))))</f>
        <v>#N/A</v>
      </c>
      <c r="D100" s="31"/>
      <c r="F100" s="70"/>
      <c r="G100" s="79"/>
      <c r="H100" s="70"/>
      <c r="I100" s="70"/>
    </row>
    <row r="101" spans="3:17" ht="42.75" thickBot="1" x14ac:dyDescent="0.3">
      <c r="F101" s="93"/>
      <c r="G101" s="76"/>
      <c r="H101" s="76"/>
      <c r="I101" s="76"/>
      <c r="L101" s="226"/>
      <c r="M101" s="227"/>
      <c r="N101" s="226"/>
      <c r="O101" s="226"/>
      <c r="P101" s="229" t="s">
        <v>467</v>
      </c>
      <c r="Q101" s="229" t="s">
        <v>468</v>
      </c>
    </row>
    <row r="102" spans="3:17" ht="30.75" thickBot="1" x14ac:dyDescent="0.3">
      <c r="C102" s="129" t="s">
        <v>44</v>
      </c>
      <c r="D102" s="129" t="s">
        <v>55</v>
      </c>
      <c r="E102" s="136" t="s">
        <v>57</v>
      </c>
      <c r="F102" s="135" t="s">
        <v>27</v>
      </c>
      <c r="G102" s="133" t="s">
        <v>129</v>
      </c>
      <c r="H102" s="136" t="s">
        <v>46</v>
      </c>
      <c r="I102" s="133" t="s">
        <v>130</v>
      </c>
      <c r="J102" s="133" t="s">
        <v>408</v>
      </c>
      <c r="K102" s="133" t="s">
        <v>409</v>
      </c>
      <c r="L102" s="223" t="s">
        <v>21</v>
      </c>
      <c r="M102" s="223" t="s">
        <v>55</v>
      </c>
      <c r="N102" s="224" t="s">
        <v>465</v>
      </c>
      <c r="O102" s="225" t="s">
        <v>466</v>
      </c>
      <c r="P102" s="228">
        <v>0.7</v>
      </c>
      <c r="Q102" s="228">
        <v>0.3</v>
      </c>
    </row>
    <row r="103" spans="3:17" x14ac:dyDescent="0.25">
      <c r="C103" s="141"/>
      <c r="D103" s="158"/>
      <c r="E103" s="123"/>
      <c r="F103" s="97">
        <f t="shared" ref="F103:F136" si="10">D103*E103</f>
        <v>0</v>
      </c>
      <c r="G103" s="161"/>
      <c r="H103" s="142"/>
      <c r="I103" s="130" t="e">
        <f>VLOOKUP(H103,Presupuesto!$B$11:$C$565,2,0)</f>
        <v>#N/A</v>
      </c>
      <c r="J103" s="218" t="s">
        <v>1357</v>
      </c>
      <c r="K103" s="98" t="s">
        <v>410</v>
      </c>
      <c r="L103" s="141"/>
      <c r="M103" s="158"/>
      <c r="N103" s="123"/>
      <c r="O103" s="97">
        <f t="shared" ref="O103:O136" si="11">M103*N103</f>
        <v>0</v>
      </c>
      <c r="P103" s="97">
        <f t="shared" ref="P103:Q122" si="12">$O103*P$16</f>
        <v>0</v>
      </c>
      <c r="Q103" s="97">
        <f t="shared" si="12"/>
        <v>0</v>
      </c>
    </row>
    <row r="104" spans="3:17" x14ac:dyDescent="0.25">
      <c r="C104" s="141"/>
      <c r="D104" s="158"/>
      <c r="E104" s="123"/>
      <c r="F104" s="97">
        <f t="shared" si="10"/>
        <v>0</v>
      </c>
      <c r="G104" s="161"/>
      <c r="H104" s="142"/>
      <c r="I104" s="130" t="e">
        <f>VLOOKUP(H104,Presupuesto!$B$11:$C$565,2,0)</f>
        <v>#N/A</v>
      </c>
      <c r="J104" s="98" t="str">
        <f>$J$103</f>
        <v>Investigación Científica</v>
      </c>
      <c r="K104" s="98" t="s">
        <v>410</v>
      </c>
      <c r="L104" s="141"/>
      <c r="M104" s="158"/>
      <c r="N104" s="123"/>
      <c r="O104" s="97">
        <f t="shared" si="11"/>
        <v>0</v>
      </c>
      <c r="P104" s="97">
        <f t="shared" si="12"/>
        <v>0</v>
      </c>
      <c r="Q104" s="97">
        <f t="shared" si="12"/>
        <v>0</v>
      </c>
    </row>
    <row r="105" spans="3:17" x14ac:dyDescent="0.25">
      <c r="C105" s="141"/>
      <c r="D105" s="158"/>
      <c r="E105" s="123"/>
      <c r="F105" s="97">
        <f t="shared" si="10"/>
        <v>0</v>
      </c>
      <c r="G105" s="161"/>
      <c r="H105" s="142"/>
      <c r="I105" s="130" t="e">
        <f>VLOOKUP(H105,Presupuesto!$B$11:$C$565,2,0)</f>
        <v>#N/A</v>
      </c>
      <c r="J105" s="98" t="str">
        <f t="shared" ref="J105:J136" si="13">$J$103</f>
        <v>Investigación Científica</v>
      </c>
      <c r="K105" s="98" t="s">
        <v>410</v>
      </c>
      <c r="L105" s="141"/>
      <c r="M105" s="158"/>
      <c r="N105" s="123"/>
      <c r="O105" s="97">
        <f t="shared" si="11"/>
        <v>0</v>
      </c>
      <c r="P105" s="97">
        <f t="shared" si="12"/>
        <v>0</v>
      </c>
      <c r="Q105" s="97">
        <f t="shared" si="12"/>
        <v>0</v>
      </c>
    </row>
    <row r="106" spans="3:17" x14ac:dyDescent="0.25">
      <c r="C106" s="141"/>
      <c r="D106" s="158"/>
      <c r="E106" s="123"/>
      <c r="F106" s="97">
        <f t="shared" si="10"/>
        <v>0</v>
      </c>
      <c r="G106" s="161"/>
      <c r="H106" s="142"/>
      <c r="I106" s="130" t="e">
        <f>VLOOKUP(H106,Presupuesto!$B$11:$C$565,2,0)</f>
        <v>#N/A</v>
      </c>
      <c r="J106" s="98" t="str">
        <f t="shared" si="13"/>
        <v>Investigación Científica</v>
      </c>
      <c r="K106" s="98" t="s">
        <v>410</v>
      </c>
      <c r="L106" s="141"/>
      <c r="M106" s="158"/>
      <c r="N106" s="123"/>
      <c r="O106" s="97">
        <f t="shared" si="11"/>
        <v>0</v>
      </c>
      <c r="P106" s="97">
        <f t="shared" si="12"/>
        <v>0</v>
      </c>
      <c r="Q106" s="97">
        <f t="shared" si="12"/>
        <v>0</v>
      </c>
    </row>
    <row r="107" spans="3:17" x14ac:dyDescent="0.25">
      <c r="C107" s="141"/>
      <c r="D107" s="158"/>
      <c r="E107" s="123"/>
      <c r="F107" s="97">
        <f t="shared" si="10"/>
        <v>0</v>
      </c>
      <c r="G107" s="161"/>
      <c r="H107" s="142"/>
      <c r="I107" s="130" t="e">
        <f>VLOOKUP(H107,Presupuesto!$B$11:$C$565,2,0)</f>
        <v>#N/A</v>
      </c>
      <c r="J107" s="98" t="str">
        <f t="shared" si="13"/>
        <v>Investigación Científica</v>
      </c>
      <c r="K107" s="98" t="s">
        <v>399</v>
      </c>
      <c r="L107" s="141"/>
      <c r="M107" s="158"/>
      <c r="N107" s="123"/>
      <c r="O107" s="97">
        <f t="shared" si="11"/>
        <v>0</v>
      </c>
      <c r="P107" s="97">
        <f t="shared" si="12"/>
        <v>0</v>
      </c>
      <c r="Q107" s="97">
        <f t="shared" si="12"/>
        <v>0</v>
      </c>
    </row>
    <row r="108" spans="3:17" x14ac:dyDescent="0.25">
      <c r="C108" s="141"/>
      <c r="D108" s="158"/>
      <c r="E108" s="123"/>
      <c r="F108" s="97">
        <f t="shared" si="10"/>
        <v>0</v>
      </c>
      <c r="G108" s="161"/>
      <c r="H108" s="142"/>
      <c r="I108" s="130" t="e">
        <f>VLOOKUP(H108,Presupuesto!$B$11:$C$565,2,0)</f>
        <v>#N/A</v>
      </c>
      <c r="J108" s="98" t="str">
        <f t="shared" si="13"/>
        <v>Investigación Científica</v>
      </c>
      <c r="K108" s="98" t="s">
        <v>410</v>
      </c>
      <c r="L108" s="141"/>
      <c r="M108" s="158"/>
      <c r="N108" s="123"/>
      <c r="O108" s="97">
        <f t="shared" si="11"/>
        <v>0</v>
      </c>
      <c r="P108" s="97">
        <f t="shared" si="12"/>
        <v>0</v>
      </c>
      <c r="Q108" s="97">
        <f t="shared" si="12"/>
        <v>0</v>
      </c>
    </row>
    <row r="109" spans="3:17" x14ac:dyDescent="0.25">
      <c r="C109" s="141"/>
      <c r="D109" s="158"/>
      <c r="E109" s="123"/>
      <c r="F109" s="97">
        <f t="shared" si="10"/>
        <v>0</v>
      </c>
      <c r="G109" s="161"/>
      <c r="H109" s="142"/>
      <c r="I109" s="130" t="e">
        <f>VLOOKUP(H109,Presupuesto!$B$11:$C$565,2,0)</f>
        <v>#N/A</v>
      </c>
      <c r="J109" s="98" t="str">
        <f t="shared" si="13"/>
        <v>Investigación Científica</v>
      </c>
      <c r="K109" s="98" t="s">
        <v>410</v>
      </c>
      <c r="L109" s="141"/>
      <c r="M109" s="158"/>
      <c r="N109" s="123"/>
      <c r="O109" s="97">
        <f t="shared" si="11"/>
        <v>0</v>
      </c>
      <c r="P109" s="97">
        <f t="shared" si="12"/>
        <v>0</v>
      </c>
      <c r="Q109" s="97">
        <f t="shared" si="12"/>
        <v>0</v>
      </c>
    </row>
    <row r="110" spans="3:17" x14ac:dyDescent="0.25">
      <c r="C110" s="141"/>
      <c r="D110" s="158"/>
      <c r="E110" s="123"/>
      <c r="F110" s="97">
        <f t="shared" si="10"/>
        <v>0</v>
      </c>
      <c r="G110" s="161"/>
      <c r="H110" s="142"/>
      <c r="I110" s="130" t="e">
        <f>VLOOKUP(H110,Presupuesto!$B$11:$C$565,2,0)</f>
        <v>#N/A</v>
      </c>
      <c r="J110" s="98" t="str">
        <f t="shared" si="13"/>
        <v>Investigación Científica</v>
      </c>
      <c r="K110" s="98" t="s">
        <v>410</v>
      </c>
      <c r="L110" s="141"/>
      <c r="M110" s="158"/>
      <c r="N110" s="123"/>
      <c r="O110" s="97">
        <f t="shared" si="11"/>
        <v>0</v>
      </c>
      <c r="P110" s="97">
        <f t="shared" si="12"/>
        <v>0</v>
      </c>
      <c r="Q110" s="97">
        <f t="shared" si="12"/>
        <v>0</v>
      </c>
    </row>
    <row r="111" spans="3:17" x14ac:dyDescent="0.25">
      <c r="C111" s="141"/>
      <c r="D111" s="158"/>
      <c r="E111" s="123"/>
      <c r="F111" s="97">
        <f t="shared" si="10"/>
        <v>0</v>
      </c>
      <c r="G111" s="161"/>
      <c r="H111" s="142"/>
      <c r="I111" s="130" t="e">
        <f>VLOOKUP(H111,Presupuesto!$B$11:$C$565,2,0)</f>
        <v>#N/A</v>
      </c>
      <c r="J111" s="98" t="str">
        <f t="shared" si="13"/>
        <v>Investigación Científica</v>
      </c>
      <c r="K111" s="98" t="s">
        <v>410</v>
      </c>
      <c r="L111" s="141"/>
      <c r="M111" s="158"/>
      <c r="N111" s="123"/>
      <c r="O111" s="97">
        <f t="shared" si="11"/>
        <v>0</v>
      </c>
      <c r="P111" s="97">
        <f t="shared" si="12"/>
        <v>0</v>
      </c>
      <c r="Q111" s="97">
        <f t="shared" si="12"/>
        <v>0</v>
      </c>
    </row>
    <row r="112" spans="3:17" x14ac:dyDescent="0.25">
      <c r="C112" s="141"/>
      <c r="D112" s="158"/>
      <c r="E112" s="123"/>
      <c r="F112" s="97">
        <f t="shared" si="10"/>
        <v>0</v>
      </c>
      <c r="G112" s="161"/>
      <c r="H112" s="142"/>
      <c r="I112" s="130" t="e">
        <f>VLOOKUP(H112,Presupuesto!$B$11:$C$565,2,0)</f>
        <v>#N/A</v>
      </c>
      <c r="J112" s="98" t="str">
        <f t="shared" si="13"/>
        <v>Investigación Científica</v>
      </c>
      <c r="K112" s="98" t="s">
        <v>410</v>
      </c>
      <c r="L112" s="141"/>
      <c r="M112" s="158"/>
      <c r="N112" s="123"/>
      <c r="O112" s="97">
        <f t="shared" si="11"/>
        <v>0</v>
      </c>
      <c r="P112" s="97">
        <f t="shared" si="12"/>
        <v>0</v>
      </c>
      <c r="Q112" s="97">
        <f t="shared" si="12"/>
        <v>0</v>
      </c>
    </row>
    <row r="113" spans="3:17" x14ac:dyDescent="0.25">
      <c r="C113" s="141"/>
      <c r="D113" s="158"/>
      <c r="E113" s="123"/>
      <c r="F113" s="97">
        <f t="shared" si="10"/>
        <v>0</v>
      </c>
      <c r="G113" s="161"/>
      <c r="H113" s="142"/>
      <c r="I113" s="130" t="e">
        <f>VLOOKUP(H113,Presupuesto!$B$11:$C$565,2,0)</f>
        <v>#N/A</v>
      </c>
      <c r="J113" s="98" t="str">
        <f t="shared" si="13"/>
        <v>Investigación Científica</v>
      </c>
      <c r="K113" s="98" t="s">
        <v>410</v>
      </c>
      <c r="L113" s="141"/>
      <c r="M113" s="158"/>
      <c r="N113" s="123"/>
      <c r="O113" s="97">
        <f t="shared" si="11"/>
        <v>0</v>
      </c>
      <c r="P113" s="97">
        <f t="shared" si="12"/>
        <v>0</v>
      </c>
      <c r="Q113" s="97">
        <f t="shared" si="12"/>
        <v>0</v>
      </c>
    </row>
    <row r="114" spans="3:17" x14ac:dyDescent="0.25">
      <c r="C114" s="141"/>
      <c r="D114" s="158"/>
      <c r="E114" s="123"/>
      <c r="F114" s="97">
        <f t="shared" si="10"/>
        <v>0</v>
      </c>
      <c r="G114" s="161"/>
      <c r="H114" s="142"/>
      <c r="I114" s="130" t="e">
        <f>VLOOKUP(H114,Presupuesto!$B$11:$C$565,2,0)</f>
        <v>#N/A</v>
      </c>
      <c r="J114" s="98" t="str">
        <f t="shared" si="13"/>
        <v>Investigación Científica</v>
      </c>
      <c r="K114" s="98" t="s">
        <v>410</v>
      </c>
      <c r="L114" s="141"/>
      <c r="M114" s="158"/>
      <c r="N114" s="123"/>
      <c r="O114" s="97">
        <f t="shared" si="11"/>
        <v>0</v>
      </c>
      <c r="P114" s="97">
        <f t="shared" si="12"/>
        <v>0</v>
      </c>
      <c r="Q114" s="97">
        <f t="shared" si="12"/>
        <v>0</v>
      </c>
    </row>
    <row r="115" spans="3:17" x14ac:dyDescent="0.25">
      <c r="C115" s="141"/>
      <c r="D115" s="158"/>
      <c r="E115" s="123"/>
      <c r="F115" s="97">
        <f t="shared" si="10"/>
        <v>0</v>
      </c>
      <c r="G115" s="161"/>
      <c r="H115" s="142"/>
      <c r="I115" s="130" t="e">
        <f>VLOOKUP(H115,Presupuesto!$B$11:$C$565,2,0)</f>
        <v>#N/A</v>
      </c>
      <c r="J115" s="98" t="str">
        <f t="shared" si="13"/>
        <v>Investigación Científica</v>
      </c>
      <c r="K115" s="98" t="s">
        <v>410</v>
      </c>
      <c r="L115" s="141"/>
      <c r="M115" s="158"/>
      <c r="N115" s="123"/>
      <c r="O115" s="97">
        <f t="shared" si="11"/>
        <v>0</v>
      </c>
      <c r="P115" s="97">
        <f t="shared" si="12"/>
        <v>0</v>
      </c>
      <c r="Q115" s="97">
        <f t="shared" si="12"/>
        <v>0</v>
      </c>
    </row>
    <row r="116" spans="3:17" x14ac:dyDescent="0.25">
      <c r="C116" s="141"/>
      <c r="D116" s="158"/>
      <c r="E116" s="123"/>
      <c r="F116" s="97">
        <f t="shared" si="10"/>
        <v>0</v>
      </c>
      <c r="G116" s="161"/>
      <c r="H116" s="142"/>
      <c r="I116" s="130" t="e">
        <f>VLOOKUP(H116,Presupuesto!$B$11:$C$565,2,0)</f>
        <v>#N/A</v>
      </c>
      <c r="J116" s="98" t="str">
        <f t="shared" si="13"/>
        <v>Investigación Científica</v>
      </c>
      <c r="K116" s="98" t="s">
        <v>410</v>
      </c>
      <c r="L116" s="141"/>
      <c r="M116" s="158"/>
      <c r="N116" s="123"/>
      <c r="O116" s="97">
        <f t="shared" si="11"/>
        <v>0</v>
      </c>
      <c r="P116" s="97">
        <f t="shared" si="12"/>
        <v>0</v>
      </c>
      <c r="Q116" s="97">
        <f t="shared" si="12"/>
        <v>0</v>
      </c>
    </row>
    <row r="117" spans="3:17" x14ac:dyDescent="0.25">
      <c r="C117" s="141"/>
      <c r="D117" s="158"/>
      <c r="E117" s="123"/>
      <c r="F117" s="97">
        <f t="shared" si="10"/>
        <v>0</v>
      </c>
      <c r="G117" s="161"/>
      <c r="H117" s="142"/>
      <c r="I117" s="130" t="e">
        <f>VLOOKUP(H117,Presupuesto!$B$11:$C$565,2,0)</f>
        <v>#N/A</v>
      </c>
      <c r="J117" s="98" t="str">
        <f t="shared" si="13"/>
        <v>Investigación Científica</v>
      </c>
      <c r="K117" s="98" t="s">
        <v>410</v>
      </c>
      <c r="L117" s="141"/>
      <c r="M117" s="158"/>
      <c r="N117" s="123"/>
      <c r="O117" s="97">
        <f t="shared" si="11"/>
        <v>0</v>
      </c>
      <c r="P117" s="97">
        <f t="shared" si="12"/>
        <v>0</v>
      </c>
      <c r="Q117" s="97">
        <f t="shared" si="12"/>
        <v>0</v>
      </c>
    </row>
    <row r="118" spans="3:17" x14ac:dyDescent="0.25">
      <c r="C118" s="141"/>
      <c r="D118" s="158"/>
      <c r="E118" s="123"/>
      <c r="F118" s="97">
        <f t="shared" si="10"/>
        <v>0</v>
      </c>
      <c r="G118" s="161"/>
      <c r="H118" s="142"/>
      <c r="I118" s="130" t="e">
        <f>VLOOKUP(H118,Presupuesto!$B$11:$C$565,2,0)</f>
        <v>#N/A</v>
      </c>
      <c r="J118" s="98" t="str">
        <f t="shared" si="13"/>
        <v>Investigación Científica</v>
      </c>
      <c r="K118" s="98" t="s">
        <v>410</v>
      </c>
      <c r="L118" s="141"/>
      <c r="M118" s="158"/>
      <c r="N118" s="123"/>
      <c r="O118" s="97">
        <f t="shared" si="11"/>
        <v>0</v>
      </c>
      <c r="P118" s="97">
        <f t="shared" si="12"/>
        <v>0</v>
      </c>
      <c r="Q118" s="97">
        <f t="shared" si="12"/>
        <v>0</v>
      </c>
    </row>
    <row r="119" spans="3:17" x14ac:dyDescent="0.25">
      <c r="C119" s="141"/>
      <c r="D119" s="158"/>
      <c r="E119" s="123"/>
      <c r="F119" s="97">
        <f t="shared" si="10"/>
        <v>0</v>
      </c>
      <c r="G119" s="161"/>
      <c r="H119" s="142"/>
      <c r="I119" s="130" t="e">
        <f>VLOOKUP(H119,Presupuesto!$B$11:$C$565,2,0)</f>
        <v>#N/A</v>
      </c>
      <c r="J119" s="98" t="str">
        <f t="shared" si="13"/>
        <v>Investigación Científica</v>
      </c>
      <c r="K119" s="98" t="s">
        <v>410</v>
      </c>
      <c r="L119" s="141"/>
      <c r="M119" s="158"/>
      <c r="N119" s="123"/>
      <c r="O119" s="97">
        <f t="shared" si="11"/>
        <v>0</v>
      </c>
      <c r="P119" s="97">
        <f t="shared" si="12"/>
        <v>0</v>
      </c>
      <c r="Q119" s="97">
        <f t="shared" si="12"/>
        <v>0</v>
      </c>
    </row>
    <row r="120" spans="3:17" x14ac:dyDescent="0.25">
      <c r="C120" s="141"/>
      <c r="D120" s="158"/>
      <c r="E120" s="123"/>
      <c r="F120" s="97">
        <f t="shared" si="10"/>
        <v>0</v>
      </c>
      <c r="G120" s="161"/>
      <c r="H120" s="142"/>
      <c r="I120" s="130" t="e">
        <f>VLOOKUP(H120,Presupuesto!$B$11:$C$565,2,0)</f>
        <v>#N/A</v>
      </c>
      <c r="J120" s="98" t="str">
        <f t="shared" si="13"/>
        <v>Investigación Científica</v>
      </c>
      <c r="K120" s="98" t="s">
        <v>410</v>
      </c>
      <c r="L120" s="141"/>
      <c r="M120" s="158"/>
      <c r="N120" s="123"/>
      <c r="O120" s="97">
        <f t="shared" si="11"/>
        <v>0</v>
      </c>
      <c r="P120" s="97">
        <f t="shared" si="12"/>
        <v>0</v>
      </c>
      <c r="Q120" s="97">
        <f t="shared" si="12"/>
        <v>0</v>
      </c>
    </row>
    <row r="121" spans="3:17" x14ac:dyDescent="0.25">
      <c r="C121" s="141"/>
      <c r="D121" s="158"/>
      <c r="E121" s="123"/>
      <c r="F121" s="97">
        <f t="shared" si="10"/>
        <v>0</v>
      </c>
      <c r="G121" s="161"/>
      <c r="H121" s="142"/>
      <c r="I121" s="130" t="e">
        <f>VLOOKUP(H121,Presupuesto!$B$11:$C$565,2,0)</f>
        <v>#N/A</v>
      </c>
      <c r="J121" s="98" t="str">
        <f t="shared" si="13"/>
        <v>Investigación Científica</v>
      </c>
      <c r="K121" s="98" t="s">
        <v>410</v>
      </c>
      <c r="L121" s="141"/>
      <c r="M121" s="158"/>
      <c r="N121" s="123"/>
      <c r="O121" s="97">
        <f t="shared" si="11"/>
        <v>0</v>
      </c>
      <c r="P121" s="97">
        <f t="shared" si="12"/>
        <v>0</v>
      </c>
      <c r="Q121" s="97">
        <f t="shared" si="12"/>
        <v>0</v>
      </c>
    </row>
    <row r="122" spans="3:17" x14ac:dyDescent="0.25">
      <c r="C122" s="141"/>
      <c r="D122" s="158"/>
      <c r="E122" s="123"/>
      <c r="F122" s="97">
        <f t="shared" si="10"/>
        <v>0</v>
      </c>
      <c r="G122" s="161"/>
      <c r="H122" s="142"/>
      <c r="I122" s="130" t="e">
        <f>VLOOKUP(H122,Presupuesto!$B$11:$C$565,2,0)</f>
        <v>#N/A</v>
      </c>
      <c r="J122" s="98" t="str">
        <f t="shared" si="13"/>
        <v>Investigación Científica</v>
      </c>
      <c r="K122" s="98" t="s">
        <v>410</v>
      </c>
      <c r="L122" s="141"/>
      <c r="M122" s="158"/>
      <c r="N122" s="123"/>
      <c r="O122" s="97">
        <f t="shared" si="11"/>
        <v>0</v>
      </c>
      <c r="P122" s="97">
        <f t="shared" si="12"/>
        <v>0</v>
      </c>
      <c r="Q122" s="97">
        <f t="shared" si="12"/>
        <v>0</v>
      </c>
    </row>
    <row r="123" spans="3:17" x14ac:dyDescent="0.25">
      <c r="C123" s="141"/>
      <c r="D123" s="158"/>
      <c r="E123" s="123"/>
      <c r="F123" s="97">
        <f t="shared" si="10"/>
        <v>0</v>
      </c>
      <c r="G123" s="161"/>
      <c r="H123" s="142"/>
      <c r="I123" s="130" t="e">
        <f>VLOOKUP(H123,Presupuesto!$B$11:$C$565,2,0)</f>
        <v>#N/A</v>
      </c>
      <c r="J123" s="98" t="str">
        <f t="shared" si="13"/>
        <v>Investigación Científica</v>
      </c>
      <c r="K123" s="98" t="s">
        <v>410</v>
      </c>
      <c r="L123" s="141"/>
      <c r="M123" s="158"/>
      <c r="N123" s="123"/>
      <c r="O123" s="97">
        <f t="shared" si="11"/>
        <v>0</v>
      </c>
      <c r="P123" s="97">
        <f t="shared" ref="P123:Q136" si="14">$O123*P$16</f>
        <v>0</v>
      </c>
      <c r="Q123" s="97">
        <f t="shared" si="14"/>
        <v>0</v>
      </c>
    </row>
    <row r="124" spans="3:17" x14ac:dyDescent="0.25">
      <c r="C124" s="143"/>
      <c r="D124" s="151"/>
      <c r="E124" s="118"/>
      <c r="F124" s="97">
        <f t="shared" si="10"/>
        <v>0</v>
      </c>
      <c r="G124" s="161"/>
      <c r="H124" s="144"/>
      <c r="I124" s="130" t="e">
        <f>VLOOKUP(H124,Presupuesto!$B$11:$C$565,2,0)</f>
        <v>#N/A</v>
      </c>
      <c r="J124" s="98" t="str">
        <f t="shared" si="13"/>
        <v>Investigación Científica</v>
      </c>
      <c r="K124" s="98" t="s">
        <v>410</v>
      </c>
      <c r="L124" s="143"/>
      <c r="M124" s="151"/>
      <c r="N124" s="118"/>
      <c r="O124" s="97">
        <f t="shared" si="11"/>
        <v>0</v>
      </c>
      <c r="P124" s="97">
        <f t="shared" si="14"/>
        <v>0</v>
      </c>
      <c r="Q124" s="97">
        <f t="shared" si="14"/>
        <v>0</v>
      </c>
    </row>
    <row r="125" spans="3:17" x14ac:dyDescent="0.25">
      <c r="C125" s="143"/>
      <c r="D125" s="151"/>
      <c r="E125" s="118"/>
      <c r="F125" s="97">
        <f t="shared" si="10"/>
        <v>0</v>
      </c>
      <c r="G125" s="161"/>
      <c r="H125" s="144"/>
      <c r="I125" s="130" t="e">
        <f>VLOOKUP(H125,Presupuesto!$B$11:$C$565,2,0)</f>
        <v>#N/A</v>
      </c>
      <c r="J125" s="98" t="str">
        <f t="shared" si="13"/>
        <v>Investigación Científica</v>
      </c>
      <c r="K125" s="98" t="s">
        <v>410</v>
      </c>
      <c r="L125" s="143"/>
      <c r="M125" s="151"/>
      <c r="N125" s="118"/>
      <c r="O125" s="97">
        <f t="shared" si="11"/>
        <v>0</v>
      </c>
      <c r="P125" s="97">
        <f t="shared" si="14"/>
        <v>0</v>
      </c>
      <c r="Q125" s="97">
        <f t="shared" si="14"/>
        <v>0</v>
      </c>
    </row>
    <row r="126" spans="3:17" x14ac:dyDescent="0.25">
      <c r="C126" s="143"/>
      <c r="D126" s="151"/>
      <c r="E126" s="118"/>
      <c r="F126" s="97">
        <f t="shared" si="10"/>
        <v>0</v>
      </c>
      <c r="G126" s="161"/>
      <c r="H126" s="144"/>
      <c r="I126" s="130" t="e">
        <f>VLOOKUP(H126,Presupuesto!$B$11:$C$565,2,0)</f>
        <v>#N/A</v>
      </c>
      <c r="J126" s="98" t="str">
        <f t="shared" si="13"/>
        <v>Investigación Científica</v>
      </c>
      <c r="K126" s="98" t="s">
        <v>410</v>
      </c>
      <c r="L126" s="143"/>
      <c r="M126" s="151"/>
      <c r="N126" s="118"/>
      <c r="O126" s="97">
        <f t="shared" si="11"/>
        <v>0</v>
      </c>
      <c r="P126" s="97">
        <f t="shared" si="14"/>
        <v>0</v>
      </c>
      <c r="Q126" s="97">
        <f t="shared" si="14"/>
        <v>0</v>
      </c>
    </row>
    <row r="127" spans="3:17" x14ac:dyDescent="0.25">
      <c r="C127" s="143"/>
      <c r="D127" s="151"/>
      <c r="E127" s="118"/>
      <c r="F127" s="97">
        <f t="shared" si="10"/>
        <v>0</v>
      </c>
      <c r="G127" s="161"/>
      <c r="H127" s="144"/>
      <c r="I127" s="130" t="e">
        <f>VLOOKUP(H127,Presupuesto!$B$11:$C$565,2,0)</f>
        <v>#N/A</v>
      </c>
      <c r="J127" s="98" t="str">
        <f t="shared" si="13"/>
        <v>Investigación Científica</v>
      </c>
      <c r="K127" s="98" t="s">
        <v>410</v>
      </c>
      <c r="L127" s="143"/>
      <c r="M127" s="151"/>
      <c r="N127" s="118"/>
      <c r="O127" s="97">
        <f t="shared" si="11"/>
        <v>0</v>
      </c>
      <c r="P127" s="97">
        <f t="shared" si="14"/>
        <v>0</v>
      </c>
      <c r="Q127" s="97">
        <f t="shared" si="14"/>
        <v>0</v>
      </c>
    </row>
    <row r="128" spans="3:17" x14ac:dyDescent="0.25">
      <c r="C128" s="143"/>
      <c r="D128" s="151"/>
      <c r="E128" s="118"/>
      <c r="F128" s="97">
        <f t="shared" si="10"/>
        <v>0</v>
      </c>
      <c r="G128" s="161"/>
      <c r="H128" s="144"/>
      <c r="I128" s="130" t="e">
        <f>VLOOKUP(H128,Presupuesto!$B$11:$C$565,2,0)</f>
        <v>#N/A</v>
      </c>
      <c r="J128" s="98" t="str">
        <f t="shared" si="13"/>
        <v>Investigación Científica</v>
      </c>
      <c r="K128" s="98" t="s">
        <v>410</v>
      </c>
      <c r="L128" s="143"/>
      <c r="M128" s="151"/>
      <c r="N128" s="118"/>
      <c r="O128" s="97">
        <f t="shared" si="11"/>
        <v>0</v>
      </c>
      <c r="P128" s="97">
        <f t="shared" si="14"/>
        <v>0</v>
      </c>
      <c r="Q128" s="97">
        <f t="shared" si="14"/>
        <v>0</v>
      </c>
    </row>
    <row r="129" spans="3:17" x14ac:dyDescent="0.25">
      <c r="C129" s="143"/>
      <c r="D129" s="151"/>
      <c r="E129" s="118"/>
      <c r="F129" s="97">
        <f t="shared" si="10"/>
        <v>0</v>
      </c>
      <c r="G129" s="161"/>
      <c r="H129" s="144"/>
      <c r="I129" s="130" t="e">
        <f>VLOOKUP(H129,Presupuesto!$B$11:$C$565,2,0)</f>
        <v>#N/A</v>
      </c>
      <c r="J129" s="98" t="str">
        <f t="shared" si="13"/>
        <v>Investigación Científica</v>
      </c>
      <c r="K129" s="98" t="s">
        <v>410</v>
      </c>
      <c r="L129" s="143"/>
      <c r="M129" s="151"/>
      <c r="N129" s="118"/>
      <c r="O129" s="97">
        <f t="shared" si="11"/>
        <v>0</v>
      </c>
      <c r="P129" s="97">
        <f t="shared" si="14"/>
        <v>0</v>
      </c>
      <c r="Q129" s="97">
        <f t="shared" si="14"/>
        <v>0</v>
      </c>
    </row>
    <row r="130" spans="3:17" x14ac:dyDescent="0.25">
      <c r="C130" s="143"/>
      <c r="D130" s="151"/>
      <c r="E130" s="118"/>
      <c r="F130" s="97">
        <f t="shared" si="10"/>
        <v>0</v>
      </c>
      <c r="G130" s="161"/>
      <c r="H130" s="144"/>
      <c r="I130" s="130" t="e">
        <f>VLOOKUP(H130,Presupuesto!$B$11:$C$565,2,0)</f>
        <v>#N/A</v>
      </c>
      <c r="J130" s="98" t="str">
        <f t="shared" si="13"/>
        <v>Investigación Científica</v>
      </c>
      <c r="K130" s="98" t="s">
        <v>410</v>
      </c>
      <c r="L130" s="143"/>
      <c r="M130" s="151"/>
      <c r="N130" s="118"/>
      <c r="O130" s="97">
        <f t="shared" si="11"/>
        <v>0</v>
      </c>
      <c r="P130" s="97">
        <f t="shared" si="14"/>
        <v>0</v>
      </c>
      <c r="Q130" s="97">
        <f t="shared" si="14"/>
        <v>0</v>
      </c>
    </row>
    <row r="131" spans="3:17" x14ac:dyDescent="0.25">
      <c r="C131" s="143"/>
      <c r="D131" s="151"/>
      <c r="E131" s="118"/>
      <c r="F131" s="97">
        <f t="shared" si="10"/>
        <v>0</v>
      </c>
      <c r="G131" s="161"/>
      <c r="H131" s="144"/>
      <c r="I131" s="130" t="e">
        <f>VLOOKUP(H131,Presupuesto!$B$11:$C$565,2,0)</f>
        <v>#N/A</v>
      </c>
      <c r="J131" s="98" t="str">
        <f t="shared" si="13"/>
        <v>Investigación Científica</v>
      </c>
      <c r="K131" s="98" t="s">
        <v>410</v>
      </c>
      <c r="L131" s="143"/>
      <c r="M131" s="151"/>
      <c r="N131" s="118"/>
      <c r="O131" s="97">
        <f t="shared" si="11"/>
        <v>0</v>
      </c>
      <c r="P131" s="97">
        <f t="shared" si="14"/>
        <v>0</v>
      </c>
      <c r="Q131" s="97">
        <f t="shared" si="14"/>
        <v>0</v>
      </c>
    </row>
    <row r="132" spans="3:17" x14ac:dyDescent="0.25">
      <c r="C132" s="145"/>
      <c r="D132" s="151"/>
      <c r="E132" s="118"/>
      <c r="F132" s="97">
        <f t="shared" si="10"/>
        <v>0</v>
      </c>
      <c r="G132" s="161"/>
      <c r="H132" s="146"/>
      <c r="I132" s="130" t="e">
        <f>VLOOKUP(H132,Presupuesto!$B$11:$C$565,2,0)</f>
        <v>#N/A</v>
      </c>
      <c r="J132" s="98" t="str">
        <f t="shared" si="13"/>
        <v>Investigación Científica</v>
      </c>
      <c r="K132" s="98" t="s">
        <v>401</v>
      </c>
      <c r="L132" s="145"/>
      <c r="M132" s="151"/>
      <c r="N132" s="118"/>
      <c r="O132" s="97">
        <f t="shared" si="11"/>
        <v>0</v>
      </c>
      <c r="P132" s="97">
        <f t="shared" si="14"/>
        <v>0</v>
      </c>
      <c r="Q132" s="97">
        <f t="shared" si="14"/>
        <v>0</v>
      </c>
    </row>
    <row r="133" spans="3:17" x14ac:dyDescent="0.25">
      <c r="C133" s="145"/>
      <c r="D133" s="151"/>
      <c r="E133" s="118"/>
      <c r="F133" s="97">
        <f t="shared" si="10"/>
        <v>0</v>
      </c>
      <c r="G133" s="161"/>
      <c r="H133" s="146"/>
      <c r="I133" s="130" t="e">
        <f>VLOOKUP(H133,Presupuesto!$B$11:$C$565,2,0)</f>
        <v>#N/A</v>
      </c>
      <c r="J133" s="98" t="str">
        <f t="shared" si="13"/>
        <v>Investigación Científica</v>
      </c>
      <c r="K133" s="98" t="s">
        <v>410</v>
      </c>
      <c r="L133" s="145"/>
      <c r="M133" s="151"/>
      <c r="N133" s="118"/>
      <c r="O133" s="97">
        <f t="shared" si="11"/>
        <v>0</v>
      </c>
      <c r="P133" s="97">
        <f t="shared" si="14"/>
        <v>0</v>
      </c>
      <c r="Q133" s="97">
        <f t="shared" si="14"/>
        <v>0</v>
      </c>
    </row>
    <row r="134" spans="3:17" x14ac:dyDescent="0.25">
      <c r="C134" s="145"/>
      <c r="D134" s="151"/>
      <c r="E134" s="118"/>
      <c r="F134" s="97">
        <f t="shared" si="10"/>
        <v>0</v>
      </c>
      <c r="G134" s="161"/>
      <c r="H134" s="146"/>
      <c r="I134" s="130" t="e">
        <f>VLOOKUP(H134,Presupuesto!$B$11:$C$565,2,0)</f>
        <v>#N/A</v>
      </c>
      <c r="J134" s="98" t="str">
        <f t="shared" si="13"/>
        <v>Investigación Científica</v>
      </c>
      <c r="K134" s="98" t="s">
        <v>410</v>
      </c>
      <c r="L134" s="145"/>
      <c r="M134" s="151"/>
      <c r="N134" s="118"/>
      <c r="O134" s="97">
        <f t="shared" si="11"/>
        <v>0</v>
      </c>
      <c r="P134" s="97">
        <f t="shared" si="14"/>
        <v>0</v>
      </c>
      <c r="Q134" s="97">
        <f t="shared" si="14"/>
        <v>0</v>
      </c>
    </row>
    <row r="135" spans="3:17" x14ac:dyDescent="0.25">
      <c r="C135" s="145"/>
      <c r="D135" s="151"/>
      <c r="E135" s="118"/>
      <c r="F135" s="97">
        <f t="shared" si="10"/>
        <v>0</v>
      </c>
      <c r="G135" s="161"/>
      <c r="H135" s="146"/>
      <c r="I135" s="130" t="e">
        <f>VLOOKUP(H135,Presupuesto!$B$11:$C$565,2,0)</f>
        <v>#N/A</v>
      </c>
      <c r="J135" s="98" t="str">
        <f t="shared" si="13"/>
        <v>Investigación Científica</v>
      </c>
      <c r="K135" s="98" t="s">
        <v>410</v>
      </c>
      <c r="L135" s="145"/>
      <c r="M135" s="151"/>
      <c r="N135" s="118"/>
      <c r="O135" s="97">
        <f t="shared" si="11"/>
        <v>0</v>
      </c>
      <c r="P135" s="97">
        <f t="shared" si="14"/>
        <v>0</v>
      </c>
      <c r="Q135" s="97">
        <f t="shared" si="14"/>
        <v>0</v>
      </c>
    </row>
    <row r="136" spans="3:17" ht="15.75" thickBot="1" x14ac:dyDescent="0.3">
      <c r="C136" s="147"/>
      <c r="D136" s="159"/>
      <c r="E136" s="103"/>
      <c r="F136" s="105">
        <f t="shared" si="10"/>
        <v>0</v>
      </c>
      <c r="G136" s="162"/>
      <c r="H136" s="148"/>
      <c r="I136" s="132" t="e">
        <f>VLOOKUP(H136,Presupuesto!$B$11:$C$565,2,0)</f>
        <v>#N/A</v>
      </c>
      <c r="J136" s="106" t="str">
        <f t="shared" si="13"/>
        <v>Investigación Científica</v>
      </c>
      <c r="K136" s="124" t="s">
        <v>392</v>
      </c>
      <c r="L136" s="147"/>
      <c r="M136" s="159"/>
      <c r="N136" s="103"/>
      <c r="O136" s="105">
        <f t="shared" si="11"/>
        <v>0</v>
      </c>
      <c r="P136" s="105">
        <f t="shared" si="14"/>
        <v>0</v>
      </c>
      <c r="Q136" s="105">
        <f t="shared" si="14"/>
        <v>0</v>
      </c>
    </row>
    <row r="138" spans="3:17" ht="15.75" thickBot="1" x14ac:dyDescent="0.3"/>
    <row r="139" spans="3:17" ht="15.75" thickBot="1" x14ac:dyDescent="0.3">
      <c r="C139" s="157" t="s">
        <v>53</v>
      </c>
      <c r="D139" s="372">
        <f>SUM(F146:F179)</f>
        <v>0</v>
      </c>
      <c r="G139" s="79"/>
      <c r="H139" s="70"/>
      <c r="I139" s="70"/>
    </row>
    <row r="140" spans="3:17" x14ac:dyDescent="0.25">
      <c r="G140" s="79"/>
      <c r="H140" s="70"/>
      <c r="I140" s="70"/>
    </row>
    <row r="141" spans="3:17" x14ac:dyDescent="0.25">
      <c r="F141" s="70"/>
      <c r="G141" s="79"/>
      <c r="H141" s="70"/>
      <c r="I141" s="70"/>
    </row>
    <row r="142" spans="3:17" ht="15.75" x14ac:dyDescent="0.25">
      <c r="C142" s="301" t="s">
        <v>390</v>
      </c>
      <c r="D142" s="368"/>
      <c r="F142" s="70"/>
      <c r="G142" s="79"/>
      <c r="H142" s="70"/>
      <c r="I142" s="70"/>
    </row>
    <row r="143" spans="3:17" ht="18.75" x14ac:dyDescent="0.25">
      <c r="C143" s="210" t="e">
        <f>IFERROR(VLOOKUP(D142,'1. Desarrollo e Innov. Curricu.'!$F:$G,2,FALSE),IFERROR(VLOOKUP(D142,'2. Investigación Científica'!$F:$G,2,FALSE),IFERROR(VLOOKUP(D142,'3. Vinculación Univ. Sociedad'!$F:$G,2,FALSE),IFERROR(VLOOKUP(D142,'4. Docencia y Profesorado Univ.'!$F:$G,2,FALSE),IFERROR(VLOOKUP(D142,'5. Estudiantes y Graduados'!$F:$G,2,FALSE),IFERROR(VLOOKUP(D142,'11. Gestion Administrativa'!$F:$G,2,FALSE),IFERROR(VLOOKUP(D142,'13. Gestión Académica'!$F:$G,2,FALSE),IFERROR(VLOOKUP(D142,'9. Asegura. de la Calid. y M'!$F:$G,2,FALSE),IFERROR(VLOOKUP(D142,'6. Gestión del Conocimiento'!$F:$G,2,FALSE),IFERROR(VLOOKUP(D142,'15. Gobernabilidad y Proceso...'!$G:$H,2,FALSE),IFERROR(VLOOKUP(D142,'12. Gestión del Talento Humano'!$F:$G,2,FALSE),IFERROR(VLOOKUP(D142,'14. Internacional... de la E.S.'!$F:$G,2,FALSE),IFERROR(VLOOKUP(D142,'10. Posgrado'!$F:$G,2,FALSE),IFERROR(VLOOKUP(D142,'17. Gestión TIC'!$F:$G,2,FALSE),IFERROR(VLOOKUP(D142,'16. Desa. del Sistema Educ.Sup.'!$F:$G,2,FALSE),IFERROR(VLOOKUP(D142,'8. Cultura de Inno. Insti...'!$F:$G,2,FALSE),VLOOKUP(D142,'7. Lo Esencial de la Reforma U.'!$G:$H,2,0)))))))))))))))))</f>
        <v>#N/A</v>
      </c>
      <c r="D143" s="31"/>
      <c r="F143" s="70"/>
      <c r="G143" s="79"/>
      <c r="H143" s="70"/>
      <c r="I143" s="70"/>
    </row>
    <row r="144" spans="3:17" ht="42.75" thickBot="1" x14ac:dyDescent="0.3">
      <c r="F144" s="93"/>
      <c r="G144" s="76"/>
      <c r="H144" s="76"/>
      <c r="I144" s="76"/>
      <c r="L144" s="226"/>
      <c r="M144" s="227"/>
      <c r="N144" s="226"/>
      <c r="O144" s="226"/>
      <c r="P144" s="229" t="s">
        <v>467</v>
      </c>
      <c r="Q144" s="229" t="s">
        <v>468</v>
      </c>
    </row>
    <row r="145" spans="3:17" ht="30.75" thickBot="1" x14ac:dyDescent="0.3">
      <c r="C145" s="129" t="s">
        <v>44</v>
      </c>
      <c r="D145" s="129" t="s">
        <v>55</v>
      </c>
      <c r="E145" s="136" t="s">
        <v>57</v>
      </c>
      <c r="F145" s="135" t="s">
        <v>27</v>
      </c>
      <c r="G145" s="133" t="s">
        <v>129</v>
      </c>
      <c r="H145" s="136" t="s">
        <v>46</v>
      </c>
      <c r="I145" s="133" t="s">
        <v>130</v>
      </c>
      <c r="J145" s="133" t="s">
        <v>408</v>
      </c>
      <c r="K145" s="133" t="s">
        <v>409</v>
      </c>
      <c r="L145" s="223" t="s">
        <v>21</v>
      </c>
      <c r="M145" s="223" t="s">
        <v>55</v>
      </c>
      <c r="N145" s="224" t="s">
        <v>465</v>
      </c>
      <c r="O145" s="225" t="s">
        <v>466</v>
      </c>
      <c r="P145" s="228">
        <v>0.7</v>
      </c>
      <c r="Q145" s="228">
        <v>0.3</v>
      </c>
    </row>
    <row r="146" spans="3:17" x14ac:dyDescent="0.25">
      <c r="C146" s="141"/>
      <c r="D146" s="158"/>
      <c r="E146" s="123"/>
      <c r="F146" s="97">
        <f t="shared" ref="F146:F179" si="15">D146*E146</f>
        <v>0</v>
      </c>
      <c r="G146" s="161"/>
      <c r="H146" s="142"/>
      <c r="I146" s="130" t="e">
        <f>VLOOKUP(H146,Presupuesto!$B$11:$C$565,2,0)</f>
        <v>#N/A</v>
      </c>
      <c r="J146" s="218" t="s">
        <v>1357</v>
      </c>
      <c r="K146" s="98" t="s">
        <v>410</v>
      </c>
      <c r="L146" s="141"/>
      <c r="M146" s="158"/>
      <c r="N146" s="123"/>
      <c r="O146" s="97">
        <f t="shared" ref="O146:O179" si="16">M146*N146</f>
        <v>0</v>
      </c>
      <c r="P146" s="97">
        <f t="shared" ref="P146:Q165" si="17">$O146*P$16</f>
        <v>0</v>
      </c>
      <c r="Q146" s="97">
        <f t="shared" si="17"/>
        <v>0</v>
      </c>
    </row>
    <row r="147" spans="3:17" x14ac:dyDescent="0.25">
      <c r="C147" s="141"/>
      <c r="D147" s="158"/>
      <c r="E147" s="123"/>
      <c r="F147" s="97">
        <f t="shared" si="15"/>
        <v>0</v>
      </c>
      <c r="G147" s="161"/>
      <c r="H147" s="142"/>
      <c r="I147" s="130" t="e">
        <f>VLOOKUP(H147,Presupuesto!$B$11:$C$565,2,0)</f>
        <v>#N/A</v>
      </c>
      <c r="J147" s="98" t="str">
        <f>$J$146</f>
        <v>Investigación Científica</v>
      </c>
      <c r="K147" s="98" t="s">
        <v>410</v>
      </c>
      <c r="L147" s="141"/>
      <c r="M147" s="158"/>
      <c r="N147" s="123"/>
      <c r="O147" s="97">
        <f t="shared" si="16"/>
        <v>0</v>
      </c>
      <c r="P147" s="97">
        <f t="shared" si="17"/>
        <v>0</v>
      </c>
      <c r="Q147" s="97">
        <f t="shared" si="17"/>
        <v>0</v>
      </c>
    </row>
    <row r="148" spans="3:17" x14ac:dyDescent="0.25">
      <c r="C148" s="141"/>
      <c r="D148" s="158"/>
      <c r="E148" s="123"/>
      <c r="F148" s="97">
        <f t="shared" si="15"/>
        <v>0</v>
      </c>
      <c r="G148" s="161"/>
      <c r="H148" s="142"/>
      <c r="I148" s="130" t="e">
        <f>VLOOKUP(H148,Presupuesto!$B$11:$C$565,2,0)</f>
        <v>#N/A</v>
      </c>
      <c r="J148" s="98" t="str">
        <f t="shared" ref="J148:J179" si="18">$J$146</f>
        <v>Investigación Científica</v>
      </c>
      <c r="K148" s="98" t="s">
        <v>410</v>
      </c>
      <c r="L148" s="141"/>
      <c r="M148" s="158"/>
      <c r="N148" s="123"/>
      <c r="O148" s="97">
        <f t="shared" si="16"/>
        <v>0</v>
      </c>
      <c r="P148" s="97">
        <f t="shared" si="17"/>
        <v>0</v>
      </c>
      <c r="Q148" s="97">
        <f t="shared" si="17"/>
        <v>0</v>
      </c>
    </row>
    <row r="149" spans="3:17" x14ac:dyDescent="0.25">
      <c r="C149" s="141"/>
      <c r="D149" s="158"/>
      <c r="E149" s="123"/>
      <c r="F149" s="97">
        <f t="shared" si="15"/>
        <v>0</v>
      </c>
      <c r="G149" s="161"/>
      <c r="H149" s="142"/>
      <c r="I149" s="130" t="e">
        <f>VLOOKUP(H149,Presupuesto!$B$11:$C$565,2,0)</f>
        <v>#N/A</v>
      </c>
      <c r="J149" s="98" t="str">
        <f t="shared" si="18"/>
        <v>Investigación Científica</v>
      </c>
      <c r="K149" s="98" t="s">
        <v>410</v>
      </c>
      <c r="L149" s="141"/>
      <c r="M149" s="158"/>
      <c r="N149" s="123"/>
      <c r="O149" s="97">
        <f t="shared" si="16"/>
        <v>0</v>
      </c>
      <c r="P149" s="97">
        <f t="shared" si="17"/>
        <v>0</v>
      </c>
      <c r="Q149" s="97">
        <f t="shared" si="17"/>
        <v>0</v>
      </c>
    </row>
    <row r="150" spans="3:17" x14ac:dyDescent="0.25">
      <c r="C150" s="141"/>
      <c r="D150" s="158"/>
      <c r="E150" s="123"/>
      <c r="F150" s="97">
        <f t="shared" si="15"/>
        <v>0</v>
      </c>
      <c r="G150" s="161"/>
      <c r="H150" s="142"/>
      <c r="I150" s="130" t="e">
        <f>VLOOKUP(H150,Presupuesto!$B$11:$C$565,2,0)</f>
        <v>#N/A</v>
      </c>
      <c r="J150" s="98" t="str">
        <f t="shared" si="18"/>
        <v>Investigación Científica</v>
      </c>
      <c r="K150" s="98" t="s">
        <v>399</v>
      </c>
      <c r="L150" s="141"/>
      <c r="M150" s="158"/>
      <c r="N150" s="123"/>
      <c r="O150" s="97">
        <f t="shared" si="16"/>
        <v>0</v>
      </c>
      <c r="P150" s="97">
        <f t="shared" si="17"/>
        <v>0</v>
      </c>
      <c r="Q150" s="97">
        <f t="shared" si="17"/>
        <v>0</v>
      </c>
    </row>
    <row r="151" spans="3:17" x14ac:dyDescent="0.25">
      <c r="C151" s="141"/>
      <c r="D151" s="158"/>
      <c r="E151" s="123"/>
      <c r="F151" s="97">
        <f t="shared" si="15"/>
        <v>0</v>
      </c>
      <c r="G151" s="161"/>
      <c r="H151" s="142"/>
      <c r="I151" s="130" t="e">
        <f>VLOOKUP(H151,Presupuesto!$B$11:$C$565,2,0)</f>
        <v>#N/A</v>
      </c>
      <c r="J151" s="98" t="str">
        <f t="shared" si="18"/>
        <v>Investigación Científica</v>
      </c>
      <c r="K151" s="98" t="s">
        <v>410</v>
      </c>
      <c r="L151" s="141"/>
      <c r="M151" s="158"/>
      <c r="N151" s="123"/>
      <c r="O151" s="97">
        <f t="shared" si="16"/>
        <v>0</v>
      </c>
      <c r="P151" s="97">
        <f t="shared" si="17"/>
        <v>0</v>
      </c>
      <c r="Q151" s="97">
        <f t="shared" si="17"/>
        <v>0</v>
      </c>
    </row>
    <row r="152" spans="3:17" x14ac:dyDescent="0.25">
      <c r="C152" s="141"/>
      <c r="D152" s="158"/>
      <c r="E152" s="123"/>
      <c r="F152" s="97">
        <f t="shared" si="15"/>
        <v>0</v>
      </c>
      <c r="G152" s="161"/>
      <c r="H152" s="142"/>
      <c r="I152" s="130" t="e">
        <f>VLOOKUP(H152,Presupuesto!$B$11:$C$565,2,0)</f>
        <v>#N/A</v>
      </c>
      <c r="J152" s="98" t="str">
        <f t="shared" si="18"/>
        <v>Investigación Científica</v>
      </c>
      <c r="K152" s="98" t="s">
        <v>410</v>
      </c>
      <c r="L152" s="141"/>
      <c r="M152" s="158"/>
      <c r="N152" s="123"/>
      <c r="O152" s="97">
        <f t="shared" si="16"/>
        <v>0</v>
      </c>
      <c r="P152" s="97">
        <f t="shared" si="17"/>
        <v>0</v>
      </c>
      <c r="Q152" s="97">
        <f t="shared" si="17"/>
        <v>0</v>
      </c>
    </row>
    <row r="153" spans="3:17" x14ac:dyDescent="0.25">
      <c r="C153" s="141"/>
      <c r="D153" s="158"/>
      <c r="E153" s="123"/>
      <c r="F153" s="97">
        <f t="shared" si="15"/>
        <v>0</v>
      </c>
      <c r="G153" s="161"/>
      <c r="H153" s="142"/>
      <c r="I153" s="130" t="e">
        <f>VLOOKUP(H153,Presupuesto!$B$11:$C$565,2,0)</f>
        <v>#N/A</v>
      </c>
      <c r="J153" s="98" t="str">
        <f t="shared" si="18"/>
        <v>Investigación Científica</v>
      </c>
      <c r="K153" s="98" t="s">
        <v>410</v>
      </c>
      <c r="L153" s="141"/>
      <c r="M153" s="158"/>
      <c r="N153" s="123"/>
      <c r="O153" s="97">
        <f t="shared" si="16"/>
        <v>0</v>
      </c>
      <c r="P153" s="97">
        <f t="shared" si="17"/>
        <v>0</v>
      </c>
      <c r="Q153" s="97">
        <f t="shared" si="17"/>
        <v>0</v>
      </c>
    </row>
    <row r="154" spans="3:17" x14ac:dyDescent="0.25">
      <c r="C154" s="141"/>
      <c r="D154" s="158"/>
      <c r="E154" s="123"/>
      <c r="F154" s="97">
        <f t="shared" si="15"/>
        <v>0</v>
      </c>
      <c r="G154" s="161"/>
      <c r="H154" s="142"/>
      <c r="I154" s="130" t="e">
        <f>VLOOKUP(H154,Presupuesto!$B$11:$C$565,2,0)</f>
        <v>#N/A</v>
      </c>
      <c r="J154" s="98" t="str">
        <f t="shared" si="18"/>
        <v>Investigación Científica</v>
      </c>
      <c r="K154" s="98" t="s">
        <v>410</v>
      </c>
      <c r="L154" s="141"/>
      <c r="M154" s="158"/>
      <c r="N154" s="123"/>
      <c r="O154" s="97">
        <f t="shared" si="16"/>
        <v>0</v>
      </c>
      <c r="P154" s="97">
        <f t="shared" si="17"/>
        <v>0</v>
      </c>
      <c r="Q154" s="97">
        <f t="shared" si="17"/>
        <v>0</v>
      </c>
    </row>
    <row r="155" spans="3:17" x14ac:dyDescent="0.25">
      <c r="C155" s="141"/>
      <c r="D155" s="158"/>
      <c r="E155" s="123"/>
      <c r="F155" s="97">
        <f t="shared" si="15"/>
        <v>0</v>
      </c>
      <c r="G155" s="161"/>
      <c r="H155" s="142"/>
      <c r="I155" s="130" t="e">
        <f>VLOOKUP(H155,Presupuesto!$B$11:$C$565,2,0)</f>
        <v>#N/A</v>
      </c>
      <c r="J155" s="98" t="str">
        <f t="shared" si="18"/>
        <v>Investigación Científica</v>
      </c>
      <c r="K155" s="98" t="s">
        <v>410</v>
      </c>
      <c r="L155" s="141"/>
      <c r="M155" s="158"/>
      <c r="N155" s="123"/>
      <c r="O155" s="97">
        <f t="shared" si="16"/>
        <v>0</v>
      </c>
      <c r="P155" s="97">
        <f t="shared" si="17"/>
        <v>0</v>
      </c>
      <c r="Q155" s="97">
        <f t="shared" si="17"/>
        <v>0</v>
      </c>
    </row>
    <row r="156" spans="3:17" x14ac:dyDescent="0.25">
      <c r="C156" s="141"/>
      <c r="D156" s="158"/>
      <c r="E156" s="123"/>
      <c r="F156" s="97">
        <f t="shared" si="15"/>
        <v>0</v>
      </c>
      <c r="G156" s="161"/>
      <c r="H156" s="142"/>
      <c r="I156" s="130" t="e">
        <f>VLOOKUP(H156,Presupuesto!$B$11:$C$565,2,0)</f>
        <v>#N/A</v>
      </c>
      <c r="J156" s="98" t="str">
        <f t="shared" si="18"/>
        <v>Investigación Científica</v>
      </c>
      <c r="K156" s="98" t="s">
        <v>410</v>
      </c>
      <c r="L156" s="141"/>
      <c r="M156" s="158"/>
      <c r="N156" s="123"/>
      <c r="O156" s="97">
        <f t="shared" si="16"/>
        <v>0</v>
      </c>
      <c r="P156" s="97">
        <f t="shared" si="17"/>
        <v>0</v>
      </c>
      <c r="Q156" s="97">
        <f t="shared" si="17"/>
        <v>0</v>
      </c>
    </row>
    <row r="157" spans="3:17" x14ac:dyDescent="0.25">
      <c r="C157" s="141"/>
      <c r="D157" s="158"/>
      <c r="E157" s="123"/>
      <c r="F157" s="97">
        <f t="shared" si="15"/>
        <v>0</v>
      </c>
      <c r="G157" s="161"/>
      <c r="H157" s="142"/>
      <c r="I157" s="130" t="e">
        <f>VLOOKUP(H157,Presupuesto!$B$11:$C$565,2,0)</f>
        <v>#N/A</v>
      </c>
      <c r="J157" s="98" t="str">
        <f t="shared" si="18"/>
        <v>Investigación Científica</v>
      </c>
      <c r="K157" s="98" t="s">
        <v>410</v>
      </c>
      <c r="L157" s="141"/>
      <c r="M157" s="158"/>
      <c r="N157" s="123"/>
      <c r="O157" s="97">
        <f t="shared" si="16"/>
        <v>0</v>
      </c>
      <c r="P157" s="97">
        <f t="shared" si="17"/>
        <v>0</v>
      </c>
      <c r="Q157" s="97">
        <f t="shared" si="17"/>
        <v>0</v>
      </c>
    </row>
    <row r="158" spans="3:17" x14ac:dyDescent="0.25">
      <c r="C158" s="141"/>
      <c r="D158" s="158"/>
      <c r="E158" s="123"/>
      <c r="F158" s="97">
        <f t="shared" si="15"/>
        <v>0</v>
      </c>
      <c r="G158" s="161"/>
      <c r="H158" s="142"/>
      <c r="I158" s="130" t="e">
        <f>VLOOKUP(H158,Presupuesto!$B$11:$C$565,2,0)</f>
        <v>#N/A</v>
      </c>
      <c r="J158" s="98" t="str">
        <f t="shared" si="18"/>
        <v>Investigación Científica</v>
      </c>
      <c r="K158" s="98" t="s">
        <v>410</v>
      </c>
      <c r="L158" s="141"/>
      <c r="M158" s="158"/>
      <c r="N158" s="123"/>
      <c r="O158" s="97">
        <f t="shared" si="16"/>
        <v>0</v>
      </c>
      <c r="P158" s="97">
        <f t="shared" si="17"/>
        <v>0</v>
      </c>
      <c r="Q158" s="97">
        <f t="shared" si="17"/>
        <v>0</v>
      </c>
    </row>
    <row r="159" spans="3:17" x14ac:dyDescent="0.25">
      <c r="C159" s="141"/>
      <c r="D159" s="158"/>
      <c r="E159" s="123"/>
      <c r="F159" s="97">
        <f t="shared" si="15"/>
        <v>0</v>
      </c>
      <c r="G159" s="161"/>
      <c r="H159" s="142"/>
      <c r="I159" s="130" t="e">
        <f>VLOOKUP(H159,Presupuesto!$B$11:$C$565,2,0)</f>
        <v>#N/A</v>
      </c>
      <c r="J159" s="98" t="str">
        <f t="shared" si="18"/>
        <v>Investigación Científica</v>
      </c>
      <c r="K159" s="98" t="s">
        <v>410</v>
      </c>
      <c r="L159" s="141"/>
      <c r="M159" s="158"/>
      <c r="N159" s="123"/>
      <c r="O159" s="97">
        <f t="shared" si="16"/>
        <v>0</v>
      </c>
      <c r="P159" s="97">
        <f t="shared" si="17"/>
        <v>0</v>
      </c>
      <c r="Q159" s="97">
        <f t="shared" si="17"/>
        <v>0</v>
      </c>
    </row>
    <row r="160" spans="3:17" x14ac:dyDescent="0.25">
      <c r="C160" s="141"/>
      <c r="D160" s="158"/>
      <c r="E160" s="123"/>
      <c r="F160" s="97">
        <f t="shared" si="15"/>
        <v>0</v>
      </c>
      <c r="G160" s="161"/>
      <c r="H160" s="142"/>
      <c r="I160" s="130" t="e">
        <f>VLOOKUP(H160,Presupuesto!$B$11:$C$565,2,0)</f>
        <v>#N/A</v>
      </c>
      <c r="J160" s="98" t="str">
        <f t="shared" si="18"/>
        <v>Investigación Científica</v>
      </c>
      <c r="K160" s="98" t="s">
        <v>410</v>
      </c>
      <c r="L160" s="141"/>
      <c r="M160" s="158"/>
      <c r="N160" s="123"/>
      <c r="O160" s="97">
        <f t="shared" si="16"/>
        <v>0</v>
      </c>
      <c r="P160" s="97">
        <f t="shared" si="17"/>
        <v>0</v>
      </c>
      <c r="Q160" s="97">
        <f t="shared" si="17"/>
        <v>0</v>
      </c>
    </row>
    <row r="161" spans="3:17" x14ac:dyDescent="0.25">
      <c r="C161" s="141"/>
      <c r="D161" s="158"/>
      <c r="E161" s="123"/>
      <c r="F161" s="97">
        <f t="shared" si="15"/>
        <v>0</v>
      </c>
      <c r="G161" s="161"/>
      <c r="H161" s="142"/>
      <c r="I161" s="130" t="e">
        <f>VLOOKUP(H161,Presupuesto!$B$11:$C$565,2,0)</f>
        <v>#N/A</v>
      </c>
      <c r="J161" s="98" t="str">
        <f t="shared" si="18"/>
        <v>Investigación Científica</v>
      </c>
      <c r="K161" s="98" t="s">
        <v>410</v>
      </c>
      <c r="L161" s="141"/>
      <c r="M161" s="158"/>
      <c r="N161" s="123"/>
      <c r="O161" s="97">
        <f t="shared" si="16"/>
        <v>0</v>
      </c>
      <c r="P161" s="97">
        <f t="shared" si="17"/>
        <v>0</v>
      </c>
      <c r="Q161" s="97">
        <f t="shared" si="17"/>
        <v>0</v>
      </c>
    </row>
    <row r="162" spans="3:17" x14ac:dyDescent="0.25">
      <c r="C162" s="141"/>
      <c r="D162" s="158"/>
      <c r="E162" s="123"/>
      <c r="F162" s="97">
        <f t="shared" si="15"/>
        <v>0</v>
      </c>
      <c r="G162" s="161"/>
      <c r="H162" s="142"/>
      <c r="I162" s="130" t="e">
        <f>VLOOKUP(H162,Presupuesto!$B$11:$C$565,2,0)</f>
        <v>#N/A</v>
      </c>
      <c r="J162" s="98" t="str">
        <f t="shared" si="18"/>
        <v>Investigación Científica</v>
      </c>
      <c r="K162" s="98" t="s">
        <v>410</v>
      </c>
      <c r="L162" s="141"/>
      <c r="M162" s="158"/>
      <c r="N162" s="123"/>
      <c r="O162" s="97">
        <f t="shared" si="16"/>
        <v>0</v>
      </c>
      <c r="P162" s="97">
        <f t="shared" si="17"/>
        <v>0</v>
      </c>
      <c r="Q162" s="97">
        <f t="shared" si="17"/>
        <v>0</v>
      </c>
    </row>
    <row r="163" spans="3:17" x14ac:dyDescent="0.25">
      <c r="C163" s="141"/>
      <c r="D163" s="158"/>
      <c r="E163" s="123"/>
      <c r="F163" s="97">
        <f t="shared" si="15"/>
        <v>0</v>
      </c>
      <c r="G163" s="161"/>
      <c r="H163" s="142"/>
      <c r="I163" s="130" t="e">
        <f>VLOOKUP(H163,Presupuesto!$B$11:$C$565,2,0)</f>
        <v>#N/A</v>
      </c>
      <c r="J163" s="98" t="str">
        <f t="shared" si="18"/>
        <v>Investigación Científica</v>
      </c>
      <c r="K163" s="98" t="s">
        <v>410</v>
      </c>
      <c r="L163" s="141"/>
      <c r="M163" s="158"/>
      <c r="N163" s="123"/>
      <c r="O163" s="97">
        <f t="shared" si="16"/>
        <v>0</v>
      </c>
      <c r="P163" s="97">
        <f t="shared" si="17"/>
        <v>0</v>
      </c>
      <c r="Q163" s="97">
        <f t="shared" si="17"/>
        <v>0</v>
      </c>
    </row>
    <row r="164" spans="3:17" x14ac:dyDescent="0.25">
      <c r="C164" s="141"/>
      <c r="D164" s="158"/>
      <c r="E164" s="123"/>
      <c r="F164" s="97">
        <f t="shared" si="15"/>
        <v>0</v>
      </c>
      <c r="G164" s="161"/>
      <c r="H164" s="142"/>
      <c r="I164" s="130" t="e">
        <f>VLOOKUP(H164,Presupuesto!$B$11:$C$565,2,0)</f>
        <v>#N/A</v>
      </c>
      <c r="J164" s="98" t="str">
        <f t="shared" si="18"/>
        <v>Investigación Científica</v>
      </c>
      <c r="K164" s="98" t="s">
        <v>410</v>
      </c>
      <c r="L164" s="141"/>
      <c r="M164" s="158"/>
      <c r="N164" s="123"/>
      <c r="O164" s="97">
        <f t="shared" si="16"/>
        <v>0</v>
      </c>
      <c r="P164" s="97">
        <f t="shared" si="17"/>
        <v>0</v>
      </c>
      <c r="Q164" s="97">
        <f t="shared" si="17"/>
        <v>0</v>
      </c>
    </row>
    <row r="165" spans="3:17" x14ac:dyDescent="0.25">
      <c r="C165" s="141"/>
      <c r="D165" s="158"/>
      <c r="E165" s="123"/>
      <c r="F165" s="97">
        <f t="shared" si="15"/>
        <v>0</v>
      </c>
      <c r="G165" s="161"/>
      <c r="H165" s="142"/>
      <c r="I165" s="130" t="e">
        <f>VLOOKUP(H165,Presupuesto!$B$11:$C$565,2,0)</f>
        <v>#N/A</v>
      </c>
      <c r="J165" s="98" t="str">
        <f t="shared" si="18"/>
        <v>Investigación Científica</v>
      </c>
      <c r="K165" s="98" t="s">
        <v>410</v>
      </c>
      <c r="L165" s="141"/>
      <c r="M165" s="158"/>
      <c r="N165" s="123"/>
      <c r="O165" s="97">
        <f t="shared" si="16"/>
        <v>0</v>
      </c>
      <c r="P165" s="97">
        <f t="shared" si="17"/>
        <v>0</v>
      </c>
      <c r="Q165" s="97">
        <f t="shared" si="17"/>
        <v>0</v>
      </c>
    </row>
    <row r="166" spans="3:17" x14ac:dyDescent="0.25">
      <c r="C166" s="141"/>
      <c r="D166" s="158"/>
      <c r="E166" s="123"/>
      <c r="F166" s="97">
        <f t="shared" si="15"/>
        <v>0</v>
      </c>
      <c r="G166" s="161"/>
      <c r="H166" s="142"/>
      <c r="I166" s="130" t="e">
        <f>VLOOKUP(H166,Presupuesto!$B$11:$C$565,2,0)</f>
        <v>#N/A</v>
      </c>
      <c r="J166" s="98" t="str">
        <f t="shared" si="18"/>
        <v>Investigación Científica</v>
      </c>
      <c r="K166" s="98" t="s">
        <v>410</v>
      </c>
      <c r="L166" s="141"/>
      <c r="M166" s="158"/>
      <c r="N166" s="123"/>
      <c r="O166" s="97">
        <f t="shared" si="16"/>
        <v>0</v>
      </c>
      <c r="P166" s="97">
        <f t="shared" ref="P166:Q179" si="19">$O166*P$16</f>
        <v>0</v>
      </c>
      <c r="Q166" s="97">
        <f t="shared" si="19"/>
        <v>0</v>
      </c>
    </row>
    <row r="167" spans="3:17" x14ac:dyDescent="0.25">
      <c r="C167" s="143"/>
      <c r="D167" s="151"/>
      <c r="E167" s="118"/>
      <c r="F167" s="97">
        <f t="shared" si="15"/>
        <v>0</v>
      </c>
      <c r="G167" s="161"/>
      <c r="H167" s="144"/>
      <c r="I167" s="130" t="e">
        <f>VLOOKUP(H167,Presupuesto!$B$11:$C$565,2,0)</f>
        <v>#N/A</v>
      </c>
      <c r="J167" s="98" t="str">
        <f t="shared" si="18"/>
        <v>Investigación Científica</v>
      </c>
      <c r="K167" s="98" t="s">
        <v>410</v>
      </c>
      <c r="L167" s="143"/>
      <c r="M167" s="151"/>
      <c r="N167" s="118"/>
      <c r="O167" s="97">
        <f t="shared" si="16"/>
        <v>0</v>
      </c>
      <c r="P167" s="97">
        <f t="shared" si="19"/>
        <v>0</v>
      </c>
      <c r="Q167" s="97">
        <f t="shared" si="19"/>
        <v>0</v>
      </c>
    </row>
    <row r="168" spans="3:17" x14ac:dyDescent="0.25">
      <c r="C168" s="143"/>
      <c r="D168" s="151"/>
      <c r="E168" s="118"/>
      <c r="F168" s="97">
        <f t="shared" si="15"/>
        <v>0</v>
      </c>
      <c r="G168" s="161"/>
      <c r="H168" s="144"/>
      <c r="I168" s="130" t="e">
        <f>VLOOKUP(H168,Presupuesto!$B$11:$C$565,2,0)</f>
        <v>#N/A</v>
      </c>
      <c r="J168" s="98" t="str">
        <f t="shared" si="18"/>
        <v>Investigación Científica</v>
      </c>
      <c r="K168" s="98" t="s">
        <v>410</v>
      </c>
      <c r="L168" s="143"/>
      <c r="M168" s="151"/>
      <c r="N168" s="118"/>
      <c r="O168" s="97">
        <f t="shared" si="16"/>
        <v>0</v>
      </c>
      <c r="P168" s="97">
        <f t="shared" si="19"/>
        <v>0</v>
      </c>
      <c r="Q168" s="97">
        <f t="shared" si="19"/>
        <v>0</v>
      </c>
    </row>
    <row r="169" spans="3:17" x14ac:dyDescent="0.25">
      <c r="C169" s="143"/>
      <c r="D169" s="151"/>
      <c r="E169" s="118"/>
      <c r="F169" s="97">
        <f t="shared" si="15"/>
        <v>0</v>
      </c>
      <c r="G169" s="161"/>
      <c r="H169" s="144"/>
      <c r="I169" s="130" t="e">
        <f>VLOOKUP(H169,Presupuesto!$B$11:$C$565,2,0)</f>
        <v>#N/A</v>
      </c>
      <c r="J169" s="98" t="str">
        <f t="shared" si="18"/>
        <v>Investigación Científica</v>
      </c>
      <c r="K169" s="98" t="s">
        <v>410</v>
      </c>
      <c r="L169" s="143"/>
      <c r="M169" s="151"/>
      <c r="N169" s="118"/>
      <c r="O169" s="97">
        <f t="shared" si="16"/>
        <v>0</v>
      </c>
      <c r="P169" s="97">
        <f t="shared" si="19"/>
        <v>0</v>
      </c>
      <c r="Q169" s="97">
        <f t="shared" si="19"/>
        <v>0</v>
      </c>
    </row>
    <row r="170" spans="3:17" x14ac:dyDescent="0.25">
      <c r="C170" s="143"/>
      <c r="D170" s="151"/>
      <c r="E170" s="118"/>
      <c r="F170" s="97">
        <f t="shared" si="15"/>
        <v>0</v>
      </c>
      <c r="G170" s="161"/>
      <c r="H170" s="144"/>
      <c r="I170" s="130" t="e">
        <f>VLOOKUP(H170,Presupuesto!$B$11:$C$565,2,0)</f>
        <v>#N/A</v>
      </c>
      <c r="J170" s="98" t="str">
        <f t="shared" si="18"/>
        <v>Investigación Científica</v>
      </c>
      <c r="K170" s="98" t="s">
        <v>410</v>
      </c>
      <c r="L170" s="143"/>
      <c r="M170" s="151"/>
      <c r="N170" s="118"/>
      <c r="O170" s="97">
        <f t="shared" si="16"/>
        <v>0</v>
      </c>
      <c r="P170" s="97">
        <f t="shared" si="19"/>
        <v>0</v>
      </c>
      <c r="Q170" s="97">
        <f t="shared" si="19"/>
        <v>0</v>
      </c>
    </row>
    <row r="171" spans="3:17" x14ac:dyDescent="0.25">
      <c r="C171" s="143"/>
      <c r="D171" s="151"/>
      <c r="E171" s="118"/>
      <c r="F171" s="97">
        <f t="shared" si="15"/>
        <v>0</v>
      </c>
      <c r="G171" s="161"/>
      <c r="H171" s="144"/>
      <c r="I171" s="130" t="e">
        <f>VLOOKUP(H171,Presupuesto!$B$11:$C$565,2,0)</f>
        <v>#N/A</v>
      </c>
      <c r="J171" s="98" t="str">
        <f t="shared" si="18"/>
        <v>Investigación Científica</v>
      </c>
      <c r="K171" s="98" t="s">
        <v>410</v>
      </c>
      <c r="L171" s="143"/>
      <c r="M171" s="151"/>
      <c r="N171" s="118"/>
      <c r="O171" s="97">
        <f t="shared" si="16"/>
        <v>0</v>
      </c>
      <c r="P171" s="97">
        <f t="shared" si="19"/>
        <v>0</v>
      </c>
      <c r="Q171" s="97">
        <f t="shared" si="19"/>
        <v>0</v>
      </c>
    </row>
    <row r="172" spans="3:17" x14ac:dyDescent="0.25">
      <c r="C172" s="143"/>
      <c r="D172" s="151"/>
      <c r="E172" s="118"/>
      <c r="F172" s="97">
        <f t="shared" si="15"/>
        <v>0</v>
      </c>
      <c r="G172" s="161"/>
      <c r="H172" s="144"/>
      <c r="I172" s="130" t="e">
        <f>VLOOKUP(H172,Presupuesto!$B$11:$C$565,2,0)</f>
        <v>#N/A</v>
      </c>
      <c r="J172" s="98" t="str">
        <f t="shared" si="18"/>
        <v>Investigación Científica</v>
      </c>
      <c r="K172" s="98" t="s">
        <v>410</v>
      </c>
      <c r="L172" s="143"/>
      <c r="M172" s="151"/>
      <c r="N172" s="118"/>
      <c r="O172" s="97">
        <f t="shared" si="16"/>
        <v>0</v>
      </c>
      <c r="P172" s="97">
        <f t="shared" si="19"/>
        <v>0</v>
      </c>
      <c r="Q172" s="97">
        <f t="shared" si="19"/>
        <v>0</v>
      </c>
    </row>
    <row r="173" spans="3:17" x14ac:dyDescent="0.25">
      <c r="C173" s="143"/>
      <c r="D173" s="151"/>
      <c r="E173" s="118"/>
      <c r="F173" s="97">
        <f t="shared" si="15"/>
        <v>0</v>
      </c>
      <c r="G173" s="161"/>
      <c r="H173" s="144"/>
      <c r="I173" s="130" t="e">
        <f>VLOOKUP(H173,Presupuesto!$B$11:$C$565,2,0)</f>
        <v>#N/A</v>
      </c>
      <c r="J173" s="98" t="str">
        <f t="shared" si="18"/>
        <v>Investigación Científica</v>
      </c>
      <c r="K173" s="98" t="s">
        <v>410</v>
      </c>
      <c r="L173" s="143"/>
      <c r="M173" s="151"/>
      <c r="N173" s="118"/>
      <c r="O173" s="97">
        <f t="shared" si="16"/>
        <v>0</v>
      </c>
      <c r="P173" s="97">
        <f t="shared" si="19"/>
        <v>0</v>
      </c>
      <c r="Q173" s="97">
        <f t="shared" si="19"/>
        <v>0</v>
      </c>
    </row>
    <row r="174" spans="3:17" x14ac:dyDescent="0.25">
      <c r="C174" s="143"/>
      <c r="D174" s="151"/>
      <c r="E174" s="118"/>
      <c r="F174" s="97">
        <f t="shared" si="15"/>
        <v>0</v>
      </c>
      <c r="G174" s="161"/>
      <c r="H174" s="144"/>
      <c r="I174" s="130" t="e">
        <f>VLOOKUP(H174,Presupuesto!$B$11:$C$565,2,0)</f>
        <v>#N/A</v>
      </c>
      <c r="J174" s="98" t="str">
        <f t="shared" si="18"/>
        <v>Investigación Científica</v>
      </c>
      <c r="K174" s="98" t="s">
        <v>410</v>
      </c>
      <c r="L174" s="143"/>
      <c r="M174" s="151"/>
      <c r="N174" s="118"/>
      <c r="O174" s="97">
        <f t="shared" si="16"/>
        <v>0</v>
      </c>
      <c r="P174" s="97">
        <f t="shared" si="19"/>
        <v>0</v>
      </c>
      <c r="Q174" s="97">
        <f t="shared" si="19"/>
        <v>0</v>
      </c>
    </row>
    <row r="175" spans="3:17" x14ac:dyDescent="0.25">
      <c r="C175" s="145"/>
      <c r="D175" s="151"/>
      <c r="E175" s="118"/>
      <c r="F175" s="97">
        <f t="shared" si="15"/>
        <v>0</v>
      </c>
      <c r="G175" s="161"/>
      <c r="H175" s="146"/>
      <c r="I175" s="130" t="e">
        <f>VLOOKUP(H175,Presupuesto!$B$11:$C$565,2,0)</f>
        <v>#N/A</v>
      </c>
      <c r="J175" s="98" t="str">
        <f t="shared" si="18"/>
        <v>Investigación Científica</v>
      </c>
      <c r="K175" s="98" t="s">
        <v>401</v>
      </c>
      <c r="L175" s="145"/>
      <c r="M175" s="151"/>
      <c r="N175" s="118"/>
      <c r="O175" s="97">
        <f t="shared" si="16"/>
        <v>0</v>
      </c>
      <c r="P175" s="97">
        <f t="shared" si="19"/>
        <v>0</v>
      </c>
      <c r="Q175" s="97">
        <f t="shared" si="19"/>
        <v>0</v>
      </c>
    </row>
    <row r="176" spans="3:17" x14ac:dyDescent="0.25">
      <c r="C176" s="145"/>
      <c r="D176" s="151"/>
      <c r="E176" s="118"/>
      <c r="F176" s="97">
        <f t="shared" si="15"/>
        <v>0</v>
      </c>
      <c r="G176" s="161"/>
      <c r="H176" s="146"/>
      <c r="I176" s="130" t="e">
        <f>VLOOKUP(H176,Presupuesto!$B$11:$C$565,2,0)</f>
        <v>#N/A</v>
      </c>
      <c r="J176" s="98" t="str">
        <f t="shared" si="18"/>
        <v>Investigación Científica</v>
      </c>
      <c r="K176" s="98" t="s">
        <v>410</v>
      </c>
      <c r="L176" s="145"/>
      <c r="M176" s="151"/>
      <c r="N176" s="118"/>
      <c r="O176" s="97">
        <f t="shared" si="16"/>
        <v>0</v>
      </c>
      <c r="P176" s="97">
        <f t="shared" si="19"/>
        <v>0</v>
      </c>
      <c r="Q176" s="97">
        <f t="shared" si="19"/>
        <v>0</v>
      </c>
    </row>
    <row r="177" spans="3:17" x14ac:dyDescent="0.25">
      <c r="C177" s="145"/>
      <c r="D177" s="151"/>
      <c r="E177" s="118"/>
      <c r="F177" s="97">
        <f t="shared" si="15"/>
        <v>0</v>
      </c>
      <c r="G177" s="161"/>
      <c r="H177" s="146"/>
      <c r="I177" s="130" t="e">
        <f>VLOOKUP(H177,Presupuesto!$B$11:$C$565,2,0)</f>
        <v>#N/A</v>
      </c>
      <c r="J177" s="98" t="str">
        <f t="shared" si="18"/>
        <v>Investigación Científica</v>
      </c>
      <c r="K177" s="98" t="s">
        <v>410</v>
      </c>
      <c r="L177" s="145"/>
      <c r="M177" s="151"/>
      <c r="N177" s="118"/>
      <c r="O177" s="97">
        <f t="shared" si="16"/>
        <v>0</v>
      </c>
      <c r="P177" s="97">
        <f t="shared" si="19"/>
        <v>0</v>
      </c>
      <c r="Q177" s="97">
        <f t="shared" si="19"/>
        <v>0</v>
      </c>
    </row>
    <row r="178" spans="3:17" x14ac:dyDescent="0.25">
      <c r="C178" s="145"/>
      <c r="D178" s="151"/>
      <c r="E178" s="118"/>
      <c r="F178" s="97">
        <f t="shared" si="15"/>
        <v>0</v>
      </c>
      <c r="G178" s="161"/>
      <c r="H178" s="146"/>
      <c r="I178" s="130" t="e">
        <f>VLOOKUP(H178,Presupuesto!$B$11:$C$565,2,0)</f>
        <v>#N/A</v>
      </c>
      <c r="J178" s="98" t="str">
        <f t="shared" si="18"/>
        <v>Investigación Científica</v>
      </c>
      <c r="K178" s="98" t="s">
        <v>410</v>
      </c>
      <c r="L178" s="145"/>
      <c r="M178" s="151"/>
      <c r="N178" s="118"/>
      <c r="O178" s="97">
        <f t="shared" si="16"/>
        <v>0</v>
      </c>
      <c r="P178" s="97">
        <f t="shared" si="19"/>
        <v>0</v>
      </c>
      <c r="Q178" s="97">
        <f t="shared" si="19"/>
        <v>0</v>
      </c>
    </row>
    <row r="179" spans="3:17" ht="15.75" thickBot="1" x14ac:dyDescent="0.3">
      <c r="C179" s="147"/>
      <c r="D179" s="159"/>
      <c r="E179" s="103"/>
      <c r="F179" s="105">
        <f t="shared" si="15"/>
        <v>0</v>
      </c>
      <c r="G179" s="162"/>
      <c r="H179" s="148"/>
      <c r="I179" s="132" t="e">
        <f>VLOOKUP(H179,Presupuesto!$B$11:$C$565,2,0)</f>
        <v>#N/A</v>
      </c>
      <c r="J179" s="106" t="str">
        <f t="shared" si="18"/>
        <v>Investigación Científica</v>
      </c>
      <c r="K179" s="124" t="s">
        <v>392</v>
      </c>
      <c r="L179" s="147"/>
      <c r="M179" s="159"/>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workbookViewId="0">
      <pane ySplit="7" topLeftCell="A8" activePane="bottomLeft" state="frozen"/>
      <selection activeCell="M8" sqref="M8"/>
      <selection pane="bottomLeft" activeCell="D33" sqref="D33"/>
    </sheetView>
  </sheetViews>
  <sheetFormatPr baseColWidth="10" defaultColWidth="11.5703125" defaultRowHeight="15" x14ac:dyDescent="0.25"/>
  <cols>
    <col min="1" max="1" width="35.5703125" style="86" customWidth="1"/>
    <col min="2" max="2" width="21.7109375" style="86" customWidth="1"/>
    <col min="3" max="3" width="27.42578125" style="86" customWidth="1"/>
    <col min="4" max="4" width="27.42578125" style="463" customWidth="1"/>
    <col min="5" max="5" width="27.42578125" style="86" customWidth="1"/>
    <col min="6" max="6" width="27.42578125" style="77" customWidth="1"/>
    <col min="7" max="7" width="27.42578125" style="86" customWidth="1"/>
    <col min="8" max="8" width="15.28515625" style="86" customWidth="1"/>
    <col min="9" max="9" width="13.7109375" style="86" bestFit="1" customWidth="1"/>
    <col min="10" max="10" width="15.28515625" style="86" customWidth="1"/>
    <col min="11" max="11" width="18.85546875" style="86" customWidth="1"/>
    <col min="12" max="12" width="12.7109375" style="86" bestFit="1" customWidth="1"/>
    <col min="13" max="13" width="13.7109375" style="86" bestFit="1" customWidth="1"/>
    <col min="14" max="15" width="12.7109375" style="86" bestFit="1" customWidth="1"/>
    <col min="16" max="16" width="15.28515625" style="86" customWidth="1"/>
    <col min="17" max="17" width="18.28515625" style="86" customWidth="1"/>
    <col min="18" max="20" width="14.140625" style="86" customWidth="1"/>
    <col min="21" max="21" width="17" style="86" customWidth="1"/>
    <col min="22" max="16384" width="11.5703125" style="86"/>
  </cols>
  <sheetData>
    <row r="1" spans="1:21" ht="18" customHeight="1" x14ac:dyDescent="0.25">
      <c r="B1" s="495" t="s">
        <v>1665</v>
      </c>
      <c r="C1" s="496" t="s">
        <v>1666</v>
      </c>
      <c r="D1" s="207"/>
      <c r="E1" s="207"/>
      <c r="F1" s="240"/>
      <c r="H1" s="208" t="s">
        <v>1341</v>
      </c>
      <c r="I1" s="207"/>
      <c r="J1" s="207"/>
      <c r="K1" s="207"/>
      <c r="L1" s="207"/>
      <c r="M1" s="207"/>
      <c r="N1" s="207"/>
      <c r="O1" s="207"/>
      <c r="P1" s="207"/>
      <c r="Q1" s="207"/>
      <c r="R1" s="207"/>
      <c r="S1" s="207"/>
      <c r="T1" s="207"/>
      <c r="U1" s="207"/>
    </row>
    <row r="2" spans="1:21" ht="18" customHeight="1" x14ac:dyDescent="0.25">
      <c r="A2" s="309" t="s">
        <v>1340</v>
      </c>
      <c r="B2" s="207"/>
      <c r="C2" s="207"/>
      <c r="D2" s="207"/>
      <c r="E2" s="207"/>
      <c r="F2" s="240"/>
      <c r="H2" s="208"/>
      <c r="I2" s="207"/>
      <c r="J2" s="207"/>
      <c r="K2" s="207"/>
      <c r="L2" s="207"/>
      <c r="M2" s="207"/>
      <c r="N2" s="207"/>
      <c r="O2" s="207"/>
      <c r="P2" s="207"/>
      <c r="Q2" s="207"/>
      <c r="R2" s="207"/>
      <c r="S2" s="207"/>
      <c r="T2" s="207"/>
      <c r="U2" s="207"/>
    </row>
    <row r="3" spans="1:21" ht="18" customHeight="1" x14ac:dyDescent="0.25">
      <c r="A3" s="309" t="s">
        <v>1342</v>
      </c>
      <c r="B3" s="207"/>
      <c r="C3" s="207"/>
      <c r="D3" s="207"/>
      <c r="E3" s="207"/>
      <c r="F3" s="240"/>
      <c r="H3" s="208"/>
      <c r="I3" s="207"/>
      <c r="J3" s="207"/>
      <c r="K3" s="207"/>
      <c r="L3" s="207"/>
      <c r="M3" s="207"/>
      <c r="N3" s="207"/>
      <c r="O3" s="207"/>
      <c r="P3" s="207"/>
      <c r="Q3" s="207"/>
      <c r="R3" s="207"/>
      <c r="S3" s="207"/>
      <c r="T3" s="207"/>
      <c r="U3" s="207"/>
    </row>
    <row r="4" spans="1:21" ht="18" customHeight="1" x14ac:dyDescent="0.25">
      <c r="A4" s="309" t="s">
        <v>1371</v>
      </c>
      <c r="B4" s="207"/>
      <c r="C4" s="207"/>
      <c r="D4" s="207"/>
      <c r="E4" s="207"/>
      <c r="F4" s="240"/>
      <c r="H4" s="208"/>
      <c r="I4" s="207"/>
      <c r="J4" s="207"/>
      <c r="K4" s="207"/>
      <c r="L4" s="207"/>
      <c r="M4" s="207"/>
      <c r="N4" s="207"/>
      <c r="O4" s="207"/>
      <c r="P4" s="207"/>
      <c r="Q4" s="207"/>
      <c r="R4" s="207"/>
      <c r="S4" s="207"/>
      <c r="T4" s="207"/>
      <c r="U4" s="207"/>
    </row>
    <row r="5" spans="1:21" ht="14.45" customHeight="1" x14ac:dyDescent="0.25">
      <c r="A5" s="666" t="s">
        <v>96</v>
      </c>
      <c r="B5" s="665" t="s">
        <v>110</v>
      </c>
      <c r="C5" s="668" t="s">
        <v>1514</v>
      </c>
      <c r="D5" s="668" t="s">
        <v>1515</v>
      </c>
      <c r="E5" s="668" t="s">
        <v>86</v>
      </c>
      <c r="F5" s="668" t="s">
        <v>390</v>
      </c>
      <c r="G5" s="668" t="s">
        <v>87</v>
      </c>
      <c r="H5" s="671" t="s">
        <v>99</v>
      </c>
      <c r="I5" s="677"/>
      <c r="J5" s="677"/>
      <c r="K5" s="677"/>
      <c r="L5" s="677"/>
      <c r="M5" s="677"/>
      <c r="N5" s="677"/>
      <c r="O5" s="672"/>
      <c r="P5" s="673" t="s">
        <v>100</v>
      </c>
      <c r="Q5" s="674"/>
      <c r="R5" s="665" t="s">
        <v>102</v>
      </c>
      <c r="S5" s="665" t="s">
        <v>109</v>
      </c>
      <c r="T5" s="665" t="s">
        <v>108</v>
      </c>
      <c r="U5" s="662" t="s">
        <v>88</v>
      </c>
    </row>
    <row r="6" spans="1:21" ht="14.45" customHeight="1" x14ac:dyDescent="0.25">
      <c r="A6" s="666"/>
      <c r="B6" s="666"/>
      <c r="C6" s="669"/>
      <c r="D6" s="669"/>
      <c r="E6" s="669"/>
      <c r="F6" s="669"/>
      <c r="G6" s="669"/>
      <c r="H6" s="671" t="s">
        <v>103</v>
      </c>
      <c r="I6" s="672"/>
      <c r="J6" s="671" t="s">
        <v>104</v>
      </c>
      <c r="K6" s="672"/>
      <c r="L6" s="671" t="s">
        <v>105</v>
      </c>
      <c r="M6" s="672"/>
      <c r="N6" s="671" t="s">
        <v>106</v>
      </c>
      <c r="O6" s="672"/>
      <c r="P6" s="675"/>
      <c r="Q6" s="676"/>
      <c r="R6" s="666"/>
      <c r="S6" s="666"/>
      <c r="T6" s="666"/>
      <c r="U6" s="663"/>
    </row>
    <row r="7" spans="1:21" ht="25.5" x14ac:dyDescent="0.25">
      <c r="A7" s="667"/>
      <c r="B7" s="667"/>
      <c r="C7" s="670"/>
      <c r="D7" s="670"/>
      <c r="E7" s="670"/>
      <c r="F7" s="670"/>
      <c r="G7" s="670"/>
      <c r="H7" s="438" t="s">
        <v>107</v>
      </c>
      <c r="I7" s="438" t="s">
        <v>12</v>
      </c>
      <c r="J7" s="438" t="s">
        <v>107</v>
      </c>
      <c r="K7" s="438" t="s">
        <v>12</v>
      </c>
      <c r="L7" s="438" t="s">
        <v>107</v>
      </c>
      <c r="M7" s="438" t="s">
        <v>12</v>
      </c>
      <c r="N7" s="438" t="s">
        <v>107</v>
      </c>
      <c r="O7" s="438" t="s">
        <v>12</v>
      </c>
      <c r="P7" s="438" t="s">
        <v>107</v>
      </c>
      <c r="Q7" s="438" t="s">
        <v>12</v>
      </c>
      <c r="R7" s="667"/>
      <c r="S7" s="667"/>
      <c r="T7" s="667"/>
      <c r="U7" s="664"/>
    </row>
    <row r="8" spans="1:21" ht="15.75" x14ac:dyDescent="0.25">
      <c r="A8" s="439"/>
      <c r="B8" s="440"/>
      <c r="C8" s="441"/>
      <c r="D8" s="441"/>
      <c r="E8" s="441"/>
      <c r="F8" s="442"/>
      <c r="G8" s="441"/>
      <c r="H8" s="443"/>
      <c r="I8" s="443"/>
      <c r="J8" s="443"/>
      <c r="K8" s="443"/>
      <c r="L8" s="443"/>
      <c r="M8" s="443"/>
      <c r="N8" s="443"/>
      <c r="O8" s="443"/>
      <c r="P8" s="443"/>
      <c r="Q8" s="443"/>
      <c r="R8" s="444"/>
      <c r="S8" s="444"/>
      <c r="T8" s="444"/>
      <c r="U8" s="445"/>
    </row>
    <row r="9" spans="1:21" ht="15.75" x14ac:dyDescent="0.25">
      <c r="A9" s="684" t="s">
        <v>1372</v>
      </c>
      <c r="B9" s="681" t="s">
        <v>1373</v>
      </c>
      <c r="C9" s="323"/>
      <c r="D9" s="323"/>
      <c r="E9" s="323"/>
      <c r="F9" s="71"/>
      <c r="G9" s="71"/>
      <c r="H9" s="203"/>
      <c r="I9" s="204"/>
      <c r="J9" s="203"/>
      <c r="K9" s="204"/>
      <c r="L9" s="203"/>
      <c r="M9" s="204"/>
      <c r="N9" s="203"/>
      <c r="O9" s="204"/>
      <c r="P9" s="378">
        <f>H9+J9+L9+N9</f>
        <v>0</v>
      </c>
      <c r="Q9" s="378">
        <f>I9+K9+M9+O9</f>
        <v>0</v>
      </c>
      <c r="R9" s="71"/>
      <c r="S9" s="71"/>
      <c r="T9" s="71"/>
      <c r="U9" s="71"/>
    </row>
    <row r="10" spans="1:21" ht="15.75" x14ac:dyDescent="0.25">
      <c r="A10" s="685"/>
      <c r="B10" s="682"/>
      <c r="C10" s="323"/>
      <c r="D10" s="323"/>
      <c r="E10" s="323"/>
      <c r="F10" s="71"/>
      <c r="G10" s="71"/>
      <c r="H10" s="203"/>
      <c r="I10" s="204"/>
      <c r="J10" s="203"/>
      <c r="K10" s="204"/>
      <c r="L10" s="203"/>
      <c r="M10" s="204"/>
      <c r="N10" s="203"/>
      <c r="O10" s="204"/>
      <c r="P10" s="378">
        <f t="shared" ref="P10:P27" si="0">H10+J10+L10+N10</f>
        <v>0</v>
      </c>
      <c r="Q10" s="378">
        <f t="shared" ref="Q10:Q27" si="1">I10+K10+M10+O10</f>
        <v>0</v>
      </c>
      <c r="R10" s="71"/>
      <c r="S10" s="71"/>
      <c r="T10" s="71"/>
      <c r="U10" s="71"/>
    </row>
    <row r="11" spans="1:21" ht="15.75" x14ac:dyDescent="0.25">
      <c r="A11" s="685"/>
      <c r="B11" s="682"/>
      <c r="C11" s="323"/>
      <c r="D11" s="323"/>
      <c r="E11" s="323"/>
      <c r="F11" s="71"/>
      <c r="G11" s="71"/>
      <c r="H11" s="203"/>
      <c r="I11" s="204"/>
      <c r="J11" s="203"/>
      <c r="K11" s="204"/>
      <c r="L11" s="203"/>
      <c r="M11" s="204"/>
      <c r="N11" s="203"/>
      <c r="O11" s="204"/>
      <c r="P11" s="378">
        <f t="shared" si="0"/>
        <v>0</v>
      </c>
      <c r="Q11" s="378">
        <f t="shared" si="1"/>
        <v>0</v>
      </c>
      <c r="R11" s="71"/>
      <c r="S11" s="71"/>
      <c r="T11" s="71"/>
      <c r="U11" s="71"/>
    </row>
    <row r="12" spans="1:21" ht="15.75" x14ac:dyDescent="0.25">
      <c r="A12" s="685"/>
      <c r="B12" s="682"/>
      <c r="C12" s="323"/>
      <c r="D12" s="323"/>
      <c r="E12" s="323"/>
      <c r="F12" s="71"/>
      <c r="G12" s="71"/>
      <c r="H12" s="203"/>
      <c r="I12" s="204"/>
      <c r="J12" s="203"/>
      <c r="K12" s="204"/>
      <c r="L12" s="203"/>
      <c r="M12" s="204"/>
      <c r="N12" s="203"/>
      <c r="O12" s="204"/>
      <c r="P12" s="378">
        <f t="shared" si="0"/>
        <v>0</v>
      </c>
      <c r="Q12" s="378">
        <f t="shared" si="1"/>
        <v>0</v>
      </c>
      <c r="R12" s="71"/>
      <c r="S12" s="71"/>
      <c r="T12" s="71"/>
      <c r="U12" s="71"/>
    </row>
    <row r="13" spans="1:21" ht="15.75" x14ac:dyDescent="0.25">
      <c r="A13" s="685"/>
      <c r="B13" s="682"/>
      <c r="C13" s="323"/>
      <c r="D13" s="323"/>
      <c r="E13" s="323"/>
      <c r="F13" s="71"/>
      <c r="G13" s="71"/>
      <c r="H13" s="203"/>
      <c r="I13" s="204"/>
      <c r="J13" s="203"/>
      <c r="K13" s="204"/>
      <c r="L13" s="203"/>
      <c r="M13" s="204"/>
      <c r="N13" s="203"/>
      <c r="O13" s="204"/>
      <c r="P13" s="378">
        <f t="shared" si="0"/>
        <v>0</v>
      </c>
      <c r="Q13" s="378">
        <f t="shared" si="1"/>
        <v>0</v>
      </c>
      <c r="R13" s="71"/>
      <c r="S13" s="71"/>
      <c r="T13" s="71"/>
      <c r="U13" s="71"/>
    </row>
    <row r="14" spans="1:21" ht="15.75" x14ac:dyDescent="0.25">
      <c r="A14" s="685"/>
      <c r="B14" s="682"/>
      <c r="C14" s="323"/>
      <c r="D14" s="323"/>
      <c r="E14" s="323"/>
      <c r="F14" s="71"/>
      <c r="G14" s="71"/>
      <c r="H14" s="203"/>
      <c r="I14" s="204"/>
      <c r="J14" s="203"/>
      <c r="K14" s="204"/>
      <c r="L14" s="203"/>
      <c r="M14" s="204"/>
      <c r="N14" s="203"/>
      <c r="O14" s="204"/>
      <c r="P14" s="378">
        <f t="shared" si="0"/>
        <v>0</v>
      </c>
      <c r="Q14" s="378">
        <f t="shared" si="1"/>
        <v>0</v>
      </c>
      <c r="R14" s="71"/>
      <c r="S14" s="71"/>
      <c r="T14" s="71"/>
      <c r="U14" s="71"/>
    </row>
    <row r="15" spans="1:21" ht="15.75" x14ac:dyDescent="0.25">
      <c r="A15" s="685"/>
      <c r="B15" s="682"/>
      <c r="C15" s="323"/>
      <c r="D15" s="323"/>
      <c r="E15" s="323"/>
      <c r="F15" s="71"/>
      <c r="G15" s="71"/>
      <c r="H15" s="203"/>
      <c r="I15" s="204"/>
      <c r="J15" s="203"/>
      <c r="K15" s="204"/>
      <c r="L15" s="203"/>
      <c r="M15" s="204"/>
      <c r="N15" s="203"/>
      <c r="O15" s="204"/>
      <c r="P15" s="378">
        <f t="shared" si="0"/>
        <v>0</v>
      </c>
      <c r="Q15" s="378">
        <f t="shared" si="1"/>
        <v>0</v>
      </c>
      <c r="R15" s="71"/>
      <c r="S15" s="71"/>
      <c r="T15" s="71"/>
      <c r="U15" s="71"/>
    </row>
    <row r="16" spans="1:21" ht="15.75" x14ac:dyDescent="0.25">
      <c r="A16" s="685"/>
      <c r="B16" s="682"/>
      <c r="C16" s="323"/>
      <c r="D16" s="323"/>
      <c r="E16" s="323"/>
      <c r="F16" s="71"/>
      <c r="G16" s="71"/>
      <c r="H16" s="203"/>
      <c r="I16" s="204"/>
      <c r="J16" s="203"/>
      <c r="K16" s="204"/>
      <c r="L16" s="203"/>
      <c r="M16" s="204"/>
      <c r="N16" s="203"/>
      <c r="O16" s="204"/>
      <c r="P16" s="378">
        <f t="shared" si="0"/>
        <v>0</v>
      </c>
      <c r="Q16" s="378">
        <f t="shared" si="1"/>
        <v>0</v>
      </c>
      <c r="R16" s="71"/>
      <c r="S16" s="71"/>
      <c r="T16" s="71"/>
      <c r="U16" s="71"/>
    </row>
    <row r="17" spans="1:21" ht="15.75" x14ac:dyDescent="0.25">
      <c r="A17" s="685"/>
      <c r="B17" s="682"/>
      <c r="C17" s="323"/>
      <c r="D17" s="323"/>
      <c r="E17" s="323"/>
      <c r="F17" s="71"/>
      <c r="G17" s="71"/>
      <c r="H17" s="203"/>
      <c r="I17" s="204"/>
      <c r="J17" s="203"/>
      <c r="K17" s="204"/>
      <c r="L17" s="203"/>
      <c r="M17" s="204"/>
      <c r="N17" s="203"/>
      <c r="O17" s="204"/>
      <c r="P17" s="378">
        <f t="shared" si="0"/>
        <v>0</v>
      </c>
      <c r="Q17" s="378">
        <f t="shared" si="1"/>
        <v>0</v>
      </c>
      <c r="R17" s="71"/>
      <c r="S17" s="71"/>
      <c r="T17" s="71"/>
      <c r="U17" s="71"/>
    </row>
    <row r="18" spans="1:21" ht="15.75" x14ac:dyDescent="0.25">
      <c r="A18" s="686"/>
      <c r="B18" s="683"/>
      <c r="C18" s="323"/>
      <c r="D18" s="323"/>
      <c r="E18" s="323"/>
      <c r="F18" s="71"/>
      <c r="G18" s="71"/>
      <c r="H18" s="203"/>
      <c r="I18" s="204"/>
      <c r="J18" s="203"/>
      <c r="K18" s="204"/>
      <c r="L18" s="203"/>
      <c r="M18" s="204"/>
      <c r="N18" s="203"/>
      <c r="O18" s="204"/>
      <c r="P18" s="378">
        <f t="shared" si="0"/>
        <v>0</v>
      </c>
      <c r="Q18" s="378">
        <f t="shared" si="1"/>
        <v>0</v>
      </c>
      <c r="R18" s="71"/>
      <c r="S18" s="71"/>
      <c r="T18" s="71"/>
      <c r="U18" s="71"/>
    </row>
    <row r="19" spans="1:21" ht="15.75" x14ac:dyDescent="0.25">
      <c r="A19" s="678" t="s">
        <v>1374</v>
      </c>
      <c r="B19" s="678" t="s">
        <v>1373</v>
      </c>
      <c r="C19" s="343"/>
      <c r="D19" s="343"/>
      <c r="E19" s="323"/>
      <c r="F19" s="71"/>
      <c r="G19" s="71"/>
      <c r="H19" s="71"/>
      <c r="I19" s="344"/>
      <c r="J19" s="71"/>
      <c r="K19" s="71"/>
      <c r="L19" s="71"/>
      <c r="M19" s="344"/>
      <c r="N19" s="71"/>
      <c r="O19" s="71"/>
      <c r="P19" s="378">
        <f t="shared" si="0"/>
        <v>0</v>
      </c>
      <c r="Q19" s="378">
        <f t="shared" si="1"/>
        <v>0</v>
      </c>
      <c r="R19" s="71"/>
      <c r="S19" s="71"/>
      <c r="T19" s="71"/>
      <c r="U19" s="71"/>
    </row>
    <row r="20" spans="1:21" ht="15.75" x14ac:dyDescent="0.25">
      <c r="A20" s="679"/>
      <c r="B20" s="679"/>
      <c r="C20" s="343"/>
      <c r="D20" s="343"/>
      <c r="E20" s="323"/>
      <c r="F20" s="71"/>
      <c r="G20" s="71"/>
      <c r="H20" s="71"/>
      <c r="I20" s="344"/>
      <c r="J20" s="71"/>
      <c r="K20" s="71"/>
      <c r="L20" s="71"/>
      <c r="M20" s="344"/>
      <c r="N20" s="71"/>
      <c r="O20" s="71"/>
      <c r="P20" s="378">
        <f t="shared" si="0"/>
        <v>0</v>
      </c>
      <c r="Q20" s="378">
        <f t="shared" si="1"/>
        <v>0</v>
      </c>
      <c r="R20" s="71"/>
      <c r="S20" s="71"/>
      <c r="T20" s="71"/>
      <c r="U20" s="71"/>
    </row>
    <row r="21" spans="1:21" ht="15.75" x14ac:dyDescent="0.25">
      <c r="A21" s="679"/>
      <c r="B21" s="679"/>
      <c r="C21" s="343"/>
      <c r="D21" s="343"/>
      <c r="E21" s="323"/>
      <c r="F21" s="71"/>
      <c r="G21" s="71"/>
      <c r="H21" s="71"/>
      <c r="I21" s="344"/>
      <c r="J21" s="71"/>
      <c r="K21" s="71"/>
      <c r="L21" s="71"/>
      <c r="M21" s="344"/>
      <c r="N21" s="71"/>
      <c r="O21" s="71"/>
      <c r="P21" s="378">
        <f t="shared" si="0"/>
        <v>0</v>
      </c>
      <c r="Q21" s="378">
        <f t="shared" si="1"/>
        <v>0</v>
      </c>
      <c r="R21" s="71"/>
      <c r="S21" s="71"/>
      <c r="T21" s="71"/>
      <c r="U21" s="71"/>
    </row>
    <row r="22" spans="1:21" ht="15.75" x14ac:dyDescent="0.25">
      <c r="A22" s="679"/>
      <c r="B22" s="679"/>
      <c r="C22" s="343"/>
      <c r="D22" s="343"/>
      <c r="E22" s="323"/>
      <c r="F22" s="71"/>
      <c r="G22" s="71"/>
      <c r="H22" s="71"/>
      <c r="I22" s="344"/>
      <c r="J22" s="71"/>
      <c r="K22" s="71"/>
      <c r="L22" s="71"/>
      <c r="M22" s="344"/>
      <c r="N22" s="71"/>
      <c r="O22" s="71"/>
      <c r="P22" s="378">
        <f t="shared" si="0"/>
        <v>0</v>
      </c>
      <c r="Q22" s="378">
        <f t="shared" si="1"/>
        <v>0</v>
      </c>
      <c r="R22" s="71"/>
      <c r="S22" s="71"/>
      <c r="T22" s="71"/>
      <c r="U22" s="71"/>
    </row>
    <row r="23" spans="1:21" ht="15.75" x14ac:dyDescent="0.25">
      <c r="A23" s="679"/>
      <c r="B23" s="679"/>
      <c r="C23" s="343"/>
      <c r="D23" s="343"/>
      <c r="E23" s="323"/>
      <c r="F23" s="71"/>
      <c r="G23" s="71"/>
      <c r="H23" s="71"/>
      <c r="I23" s="344"/>
      <c r="J23" s="71"/>
      <c r="K23" s="71"/>
      <c r="L23" s="71"/>
      <c r="M23" s="344"/>
      <c r="N23" s="71"/>
      <c r="O23" s="71"/>
      <c r="P23" s="378">
        <f t="shared" si="0"/>
        <v>0</v>
      </c>
      <c r="Q23" s="378">
        <f t="shared" si="1"/>
        <v>0</v>
      </c>
      <c r="R23" s="71"/>
      <c r="S23" s="71"/>
      <c r="T23" s="71"/>
      <c r="U23" s="71"/>
    </row>
    <row r="24" spans="1:21" ht="15.75" x14ac:dyDescent="0.25">
      <c r="A24" s="679"/>
      <c r="B24" s="679"/>
      <c r="C24" s="343"/>
      <c r="D24" s="343"/>
      <c r="E24" s="323"/>
      <c r="F24" s="71"/>
      <c r="G24" s="71"/>
      <c r="H24" s="71"/>
      <c r="I24" s="344"/>
      <c r="J24" s="71"/>
      <c r="K24" s="71"/>
      <c r="L24" s="71"/>
      <c r="M24" s="344"/>
      <c r="N24" s="71"/>
      <c r="O24" s="71"/>
      <c r="P24" s="378">
        <f t="shared" si="0"/>
        <v>0</v>
      </c>
      <c r="Q24" s="378">
        <f t="shared" si="1"/>
        <v>0</v>
      </c>
      <c r="R24" s="71"/>
      <c r="S24" s="71"/>
      <c r="T24" s="71"/>
      <c r="U24" s="71"/>
    </row>
    <row r="25" spans="1:21" ht="15.75" x14ac:dyDescent="0.25">
      <c r="A25" s="679"/>
      <c r="B25" s="679"/>
      <c r="C25" s="343"/>
      <c r="D25" s="343"/>
      <c r="E25" s="323"/>
      <c r="F25" s="71"/>
      <c r="G25" s="71"/>
      <c r="H25" s="203"/>
      <c r="I25" s="71"/>
      <c r="J25" s="71"/>
      <c r="K25" s="71"/>
      <c r="L25" s="71"/>
      <c r="M25" s="71"/>
      <c r="N25" s="71"/>
      <c r="O25" s="71"/>
      <c r="P25" s="378">
        <f t="shared" si="0"/>
        <v>0</v>
      </c>
      <c r="Q25" s="378">
        <f t="shared" si="1"/>
        <v>0</v>
      </c>
      <c r="R25" s="71"/>
      <c r="S25" s="71"/>
      <c r="T25" s="71"/>
      <c r="U25" s="71"/>
    </row>
    <row r="26" spans="1:21" ht="15.75" x14ac:dyDescent="0.25">
      <c r="A26" s="679"/>
      <c r="B26" s="679"/>
      <c r="C26" s="343"/>
      <c r="D26" s="343"/>
      <c r="E26" s="343"/>
      <c r="F26" s="71"/>
      <c r="G26" s="71"/>
      <c r="H26" s="71"/>
      <c r="I26" s="71"/>
      <c r="J26" s="71"/>
      <c r="K26" s="71"/>
      <c r="L26" s="71"/>
      <c r="M26" s="71"/>
      <c r="N26" s="71"/>
      <c r="O26" s="71"/>
      <c r="P26" s="378">
        <f t="shared" si="0"/>
        <v>0</v>
      </c>
      <c r="Q26" s="378">
        <f t="shared" si="1"/>
        <v>0</v>
      </c>
      <c r="R26" s="71"/>
      <c r="S26" s="71"/>
      <c r="T26" s="71"/>
      <c r="U26" s="71"/>
    </row>
    <row r="27" spans="1:21" ht="15.75" x14ac:dyDescent="0.25">
      <c r="A27" s="680"/>
      <c r="B27" s="680"/>
      <c r="C27" s="343"/>
      <c r="D27" s="343"/>
      <c r="E27" s="343"/>
      <c r="F27" s="71"/>
      <c r="G27" s="71"/>
      <c r="H27" s="71"/>
      <c r="I27" s="71"/>
      <c r="J27" s="71"/>
      <c r="K27" s="71"/>
      <c r="L27" s="71"/>
      <c r="M27" s="71"/>
      <c r="N27" s="71"/>
      <c r="O27" s="71"/>
      <c r="P27" s="378">
        <f t="shared" si="0"/>
        <v>0</v>
      </c>
      <c r="Q27" s="378">
        <f t="shared" si="1"/>
        <v>0</v>
      </c>
      <c r="R27" s="71"/>
      <c r="S27" s="71"/>
      <c r="T27" s="71"/>
      <c r="U27" s="72"/>
    </row>
    <row r="28" spans="1:21" ht="15.6" customHeight="1" x14ac:dyDescent="0.25">
      <c r="A28" s="294"/>
      <c r="B28" s="295"/>
      <c r="C28" s="294" t="s">
        <v>1349</v>
      </c>
      <c r="D28" s="295"/>
      <c r="E28" s="295"/>
      <c r="F28" s="295"/>
      <c r="G28" s="296"/>
      <c r="H28" s="231">
        <f t="shared" ref="H28:Q28" si="2">SUM(H9:H27)</f>
        <v>0</v>
      </c>
      <c r="I28" s="231">
        <f t="shared" si="2"/>
        <v>0</v>
      </c>
      <c r="J28" s="231">
        <f t="shared" si="2"/>
        <v>0</v>
      </c>
      <c r="K28" s="231">
        <f t="shared" si="2"/>
        <v>0</v>
      </c>
      <c r="L28" s="231">
        <f t="shared" si="2"/>
        <v>0</v>
      </c>
      <c r="M28" s="231">
        <f t="shared" si="2"/>
        <v>0</v>
      </c>
      <c r="N28" s="231">
        <f t="shared" si="2"/>
        <v>0</v>
      </c>
      <c r="O28" s="231">
        <f t="shared" si="2"/>
        <v>0</v>
      </c>
      <c r="P28" s="231">
        <f t="shared" si="2"/>
        <v>0</v>
      </c>
      <c r="Q28" s="231">
        <f t="shared" si="2"/>
        <v>0</v>
      </c>
      <c r="R28" s="206"/>
      <c r="S28" s="206"/>
      <c r="T28" s="206"/>
      <c r="U28" s="209"/>
    </row>
    <row r="29" spans="1:21" x14ac:dyDescent="0.25">
      <c r="F29" s="86"/>
    </row>
    <row r="30" spans="1:21" x14ac:dyDescent="0.25">
      <c r="F30" s="86"/>
    </row>
    <row r="31" spans="1:21" x14ac:dyDescent="0.25">
      <c r="C31" s="153"/>
      <c r="F31" s="86"/>
    </row>
    <row r="32" spans="1:21" x14ac:dyDescent="0.25">
      <c r="C32" s="494"/>
      <c r="F32" s="86"/>
    </row>
    <row r="33" spans="3:6" x14ac:dyDescent="0.25">
      <c r="C33" s="153"/>
      <c r="F33" s="86"/>
    </row>
    <row r="34" spans="3:6" x14ac:dyDescent="0.25">
      <c r="F34" s="86"/>
    </row>
    <row r="35" spans="3:6" x14ac:dyDescent="0.25">
      <c r="F35" s="86"/>
    </row>
    <row r="36" spans="3:6" x14ac:dyDescent="0.25">
      <c r="F36" s="86"/>
    </row>
    <row r="37" spans="3:6" x14ac:dyDescent="0.25">
      <c r="F37" s="86"/>
    </row>
    <row r="38" spans="3:6" x14ac:dyDescent="0.25">
      <c r="F38" s="86"/>
    </row>
    <row r="39" spans="3:6" x14ac:dyDescent="0.25">
      <c r="F39" s="86"/>
    </row>
    <row r="40" spans="3:6" x14ac:dyDescent="0.25">
      <c r="F40" s="86"/>
    </row>
    <row r="41" spans="3:6" x14ac:dyDescent="0.25">
      <c r="F41" s="86"/>
    </row>
    <row r="42" spans="3:6" x14ac:dyDescent="0.25">
      <c r="F42" s="86"/>
    </row>
    <row r="43" spans="3:6" x14ac:dyDescent="0.25">
      <c r="F43" s="86"/>
    </row>
    <row r="44" spans="3:6" x14ac:dyDescent="0.25">
      <c r="F44" s="86"/>
    </row>
    <row r="45" spans="3:6" x14ac:dyDescent="0.25">
      <c r="F45" s="86"/>
    </row>
    <row r="46" spans="3:6" x14ac:dyDescent="0.25">
      <c r="F46" s="86"/>
    </row>
    <row r="47" spans="3:6" x14ac:dyDescent="0.25">
      <c r="F47" s="86"/>
    </row>
    <row r="48" spans="3:6" x14ac:dyDescent="0.25">
      <c r="F48" s="86"/>
    </row>
    <row r="49" spans="6:6" x14ac:dyDescent="0.25">
      <c r="F49" s="86"/>
    </row>
    <row r="50" spans="6:6" x14ac:dyDescent="0.25">
      <c r="F50" s="86"/>
    </row>
    <row r="51" spans="6:6" x14ac:dyDescent="0.25">
      <c r="F51" s="86"/>
    </row>
    <row r="52" spans="6:6" x14ac:dyDescent="0.25">
      <c r="F52" s="86"/>
    </row>
    <row r="53" spans="6:6" x14ac:dyDescent="0.25">
      <c r="F53" s="86"/>
    </row>
    <row r="54" spans="6:6" x14ac:dyDescent="0.25">
      <c r="F54" s="86"/>
    </row>
    <row r="55" spans="6:6" x14ac:dyDescent="0.25">
      <c r="F55" s="86"/>
    </row>
    <row r="56" spans="6:6" x14ac:dyDescent="0.25">
      <c r="F56" s="86"/>
    </row>
    <row r="57" spans="6:6" x14ac:dyDescent="0.25">
      <c r="F57" s="86"/>
    </row>
    <row r="58" spans="6:6" x14ac:dyDescent="0.25">
      <c r="F58" s="86"/>
    </row>
    <row r="59" spans="6:6" x14ac:dyDescent="0.25">
      <c r="F59" s="86"/>
    </row>
    <row r="60" spans="6:6" x14ac:dyDescent="0.25">
      <c r="F60" s="86"/>
    </row>
    <row r="61" spans="6:6" x14ac:dyDescent="0.25">
      <c r="F61" s="86"/>
    </row>
    <row r="62" spans="6:6" x14ac:dyDescent="0.25">
      <c r="F62" s="86"/>
    </row>
    <row r="63" spans="6:6" x14ac:dyDescent="0.25">
      <c r="F63" s="86"/>
    </row>
    <row r="64" spans="6:6" x14ac:dyDescent="0.25">
      <c r="F64" s="86"/>
    </row>
    <row r="65" spans="6:6" x14ac:dyDescent="0.25">
      <c r="F65" s="86"/>
    </row>
    <row r="66" spans="6:6" x14ac:dyDescent="0.25">
      <c r="F66" s="86"/>
    </row>
    <row r="67" spans="6:6" x14ac:dyDescent="0.25">
      <c r="F67" s="86"/>
    </row>
    <row r="68" spans="6:6" x14ac:dyDescent="0.25">
      <c r="F68" s="86"/>
    </row>
    <row r="69" spans="6:6" x14ac:dyDescent="0.25">
      <c r="F69" s="86"/>
    </row>
    <row r="70" spans="6:6" x14ac:dyDescent="0.25">
      <c r="F70" s="86"/>
    </row>
    <row r="71" spans="6:6" x14ac:dyDescent="0.25">
      <c r="F71" s="86"/>
    </row>
    <row r="72" spans="6:6" x14ac:dyDescent="0.25">
      <c r="F72" s="86"/>
    </row>
    <row r="73" spans="6:6" x14ac:dyDescent="0.25">
      <c r="F73" s="86"/>
    </row>
    <row r="74" spans="6:6" x14ac:dyDescent="0.25">
      <c r="F74" s="86"/>
    </row>
    <row r="75" spans="6:6" x14ac:dyDescent="0.25">
      <c r="F75" s="86"/>
    </row>
    <row r="76" spans="6:6" x14ac:dyDescent="0.25">
      <c r="F76" s="86"/>
    </row>
    <row r="77" spans="6:6" x14ac:dyDescent="0.25">
      <c r="F77" s="86"/>
    </row>
    <row r="78" spans="6:6" x14ac:dyDescent="0.25">
      <c r="F78" s="86"/>
    </row>
    <row r="79" spans="6:6" x14ac:dyDescent="0.25">
      <c r="F79" s="86"/>
    </row>
    <row r="80" spans="6:6" x14ac:dyDescent="0.25">
      <c r="F80" s="86"/>
    </row>
    <row r="81" spans="6:6" x14ac:dyDescent="0.25">
      <c r="F81" s="86"/>
    </row>
    <row r="82" spans="6:6" x14ac:dyDescent="0.25">
      <c r="F82" s="86"/>
    </row>
    <row r="83" spans="6:6" x14ac:dyDescent="0.25">
      <c r="F83" s="86"/>
    </row>
    <row r="84" spans="6:6" x14ac:dyDescent="0.25">
      <c r="F84" s="86"/>
    </row>
    <row r="85" spans="6:6" x14ac:dyDescent="0.25">
      <c r="F85" s="86"/>
    </row>
    <row r="86" spans="6:6" x14ac:dyDescent="0.25">
      <c r="F86" s="86"/>
    </row>
    <row r="87" spans="6:6" x14ac:dyDescent="0.25">
      <c r="F87" s="86"/>
    </row>
    <row r="88" spans="6:6" x14ac:dyDescent="0.25">
      <c r="F88" s="86"/>
    </row>
    <row r="89" spans="6:6" x14ac:dyDescent="0.25">
      <c r="F89" s="86"/>
    </row>
    <row r="90" spans="6:6" x14ac:dyDescent="0.25">
      <c r="F90" s="86"/>
    </row>
    <row r="91" spans="6:6" x14ac:dyDescent="0.25">
      <c r="F91" s="86"/>
    </row>
  </sheetData>
  <mergeCells count="21">
    <mergeCell ref="A5:A7"/>
    <mergeCell ref="B5:B7"/>
    <mergeCell ref="B19:B27"/>
    <mergeCell ref="B9:B18"/>
    <mergeCell ref="A9:A18"/>
    <mergeCell ref="A19:A27"/>
    <mergeCell ref="C5:C7"/>
    <mergeCell ref="J6:K6"/>
    <mergeCell ref="E5:E7"/>
    <mergeCell ref="G5:G7"/>
    <mergeCell ref="H5:O5"/>
    <mergeCell ref="D5:D7"/>
    <mergeCell ref="U5:U7"/>
    <mergeCell ref="R5:R7"/>
    <mergeCell ref="F5:F7"/>
    <mergeCell ref="T5:T7"/>
    <mergeCell ref="S5:S7"/>
    <mergeCell ref="H6:I6"/>
    <mergeCell ref="L6:M6"/>
    <mergeCell ref="N6:O6"/>
    <mergeCell ref="P5:Q6"/>
  </mergeCells>
  <conditionalFormatting sqref="F9:F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type="list" allowBlank="1" showInputMessage="1" showErrorMessage="1" sqref="C9:C27">
      <formula1>$B$1:$C$1</formula1>
    </dataValidation>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4"/>
  <sheetViews>
    <sheetView showGridLines="0" workbookViewId="0">
      <pane ySplit="6" topLeftCell="A7" activePane="bottomLeft" state="frozen"/>
      <selection sqref="A1:V1"/>
      <selection pane="bottomLeft" activeCell="C16" sqref="C16"/>
    </sheetView>
  </sheetViews>
  <sheetFormatPr baseColWidth="10" defaultColWidth="12.5703125" defaultRowHeight="12" x14ac:dyDescent="0.25"/>
  <cols>
    <col min="1" max="1" width="35.140625" style="260" customWidth="1"/>
    <col min="2" max="2" width="48.140625" style="252" customWidth="1"/>
    <col min="3" max="4" width="32.42578125" style="252" customWidth="1"/>
    <col min="5" max="5" width="32.7109375" style="252" customWidth="1"/>
    <col min="6" max="6" width="27.42578125" style="261" customWidth="1"/>
    <col min="7" max="7" width="36.42578125" style="252" customWidth="1"/>
    <col min="8" max="8" width="15.28515625" style="252" customWidth="1"/>
    <col min="9" max="9" width="15.85546875" style="252" customWidth="1"/>
    <col min="10" max="10" width="15.28515625" style="252" customWidth="1"/>
    <col min="11" max="11" width="15.42578125" style="252" customWidth="1"/>
    <col min="12" max="12" width="15.28515625" style="252" customWidth="1"/>
    <col min="13" max="13" width="14.85546875" style="252" customWidth="1"/>
    <col min="14" max="14" width="15.28515625" style="252" customWidth="1"/>
    <col min="15" max="15" width="17.5703125" style="252" customWidth="1"/>
    <col min="16" max="16" width="15.28515625" style="385" customWidth="1"/>
    <col min="17" max="17" width="16.28515625" style="385" bestFit="1" customWidth="1"/>
    <col min="18" max="20" width="14.28515625" style="252" customWidth="1"/>
    <col min="21" max="21" width="15.7109375" style="252" customWidth="1"/>
    <col min="22" max="16384" width="12.5703125" style="252"/>
  </cols>
  <sheetData>
    <row r="1" spans="1:28" s="244" customFormat="1" ht="18.75" x14ac:dyDescent="0.25">
      <c r="B1" s="289"/>
      <c r="C1" s="289"/>
      <c r="D1" s="289"/>
      <c r="E1" s="289"/>
      <c r="F1" s="289"/>
      <c r="G1" s="289"/>
      <c r="H1" s="289" t="s">
        <v>1378</v>
      </c>
      <c r="I1" s="289"/>
      <c r="L1" s="498" t="s">
        <v>1516</v>
      </c>
      <c r="M1" s="498" t="s">
        <v>1517</v>
      </c>
      <c r="N1" s="498" t="s">
        <v>1518</v>
      </c>
      <c r="O1" s="498" t="s">
        <v>1519</v>
      </c>
      <c r="P1" s="498" t="s">
        <v>1520</v>
      </c>
      <c r="Q1" s="498" t="s">
        <v>1521</v>
      </c>
      <c r="R1" s="498" t="s">
        <v>1522</v>
      </c>
      <c r="S1" s="498" t="s">
        <v>1523</v>
      </c>
      <c r="T1" s="498" t="s">
        <v>1524</v>
      </c>
      <c r="U1" s="498" t="s">
        <v>1525</v>
      </c>
      <c r="V1" s="498" t="s">
        <v>1526</v>
      </c>
      <c r="W1" s="498" t="s">
        <v>1527</v>
      </c>
      <c r="X1" s="498" t="s">
        <v>1528</v>
      </c>
      <c r="Y1" s="498" t="s">
        <v>1529</v>
      </c>
      <c r="Z1" s="498" t="s">
        <v>1530</v>
      </c>
      <c r="AA1" s="498" t="s">
        <v>1531</v>
      </c>
      <c r="AB1" s="498" t="s">
        <v>1532</v>
      </c>
    </row>
    <row r="2" spans="1:28" s="244" customFormat="1" ht="18.75" x14ac:dyDescent="0.25">
      <c r="A2" s="310" t="s">
        <v>1340</v>
      </c>
      <c r="B2" s="289"/>
      <c r="C2" s="289"/>
      <c r="D2" s="289"/>
      <c r="E2" s="289"/>
      <c r="F2" s="289"/>
      <c r="G2" s="289"/>
      <c r="H2" s="289"/>
      <c r="I2" s="289"/>
      <c r="J2" s="289"/>
      <c r="K2" s="289"/>
      <c r="L2" s="289"/>
      <c r="M2" s="289"/>
      <c r="N2" s="289"/>
      <c r="O2" s="289"/>
      <c r="P2" s="379"/>
      <c r="Q2" s="379"/>
      <c r="R2" s="289"/>
      <c r="S2" s="289"/>
      <c r="T2" s="289"/>
      <c r="U2" s="289"/>
    </row>
    <row r="3" spans="1:28" s="244" customFormat="1" ht="21" customHeight="1" x14ac:dyDescent="0.25">
      <c r="A3" s="245" t="s">
        <v>1375</v>
      </c>
      <c r="B3" s="246"/>
      <c r="C3" s="246"/>
      <c r="D3" s="246"/>
      <c r="E3" s="246"/>
      <c r="F3" s="247"/>
      <c r="G3" s="246"/>
      <c r="H3" s="246"/>
      <c r="I3" s="246"/>
      <c r="J3" s="246"/>
      <c r="K3" s="246"/>
      <c r="L3" s="246"/>
      <c r="M3" s="246"/>
      <c r="N3" s="246"/>
      <c r="O3" s="246"/>
      <c r="P3" s="380"/>
      <c r="Q3" s="380"/>
      <c r="R3" s="246"/>
      <c r="S3" s="246"/>
      <c r="T3" s="246"/>
      <c r="U3" s="246"/>
    </row>
    <row r="4" spans="1:28" s="67" customFormat="1" ht="23.25" customHeight="1" x14ac:dyDescent="0.25">
      <c r="A4" s="666" t="s">
        <v>96</v>
      </c>
      <c r="B4" s="665" t="s">
        <v>110</v>
      </c>
      <c r="C4" s="668" t="s">
        <v>1514</v>
      </c>
      <c r="D4" s="668" t="s">
        <v>1515</v>
      </c>
      <c r="E4" s="668" t="s">
        <v>86</v>
      </c>
      <c r="F4" s="668" t="s">
        <v>390</v>
      </c>
      <c r="G4" s="668" t="s">
        <v>87</v>
      </c>
      <c r="H4" s="671" t="s">
        <v>99</v>
      </c>
      <c r="I4" s="677"/>
      <c r="J4" s="677"/>
      <c r="K4" s="677"/>
      <c r="L4" s="677"/>
      <c r="M4" s="677"/>
      <c r="N4" s="677"/>
      <c r="O4" s="672"/>
      <c r="P4" s="673" t="s">
        <v>100</v>
      </c>
      <c r="Q4" s="674"/>
      <c r="R4" s="665" t="s">
        <v>102</v>
      </c>
      <c r="S4" s="665" t="s">
        <v>109</v>
      </c>
      <c r="T4" s="665" t="s">
        <v>108</v>
      </c>
      <c r="U4" s="662" t="s">
        <v>88</v>
      </c>
    </row>
    <row r="5" spans="1:28" s="67" customFormat="1" ht="15" customHeight="1" x14ac:dyDescent="0.25">
      <c r="A5" s="666"/>
      <c r="B5" s="666"/>
      <c r="C5" s="669"/>
      <c r="D5" s="669"/>
      <c r="E5" s="669"/>
      <c r="F5" s="669"/>
      <c r="G5" s="669"/>
      <c r="H5" s="671" t="s">
        <v>103</v>
      </c>
      <c r="I5" s="672"/>
      <c r="J5" s="671" t="s">
        <v>104</v>
      </c>
      <c r="K5" s="672"/>
      <c r="L5" s="671" t="s">
        <v>105</v>
      </c>
      <c r="M5" s="672"/>
      <c r="N5" s="671" t="s">
        <v>106</v>
      </c>
      <c r="O5" s="672"/>
      <c r="P5" s="675"/>
      <c r="Q5" s="676"/>
      <c r="R5" s="666"/>
      <c r="S5" s="666"/>
      <c r="T5" s="666"/>
      <c r="U5" s="663"/>
    </row>
    <row r="6" spans="1:28" s="67" customFormat="1" ht="24" customHeight="1" x14ac:dyDescent="0.25">
      <c r="A6" s="667"/>
      <c r="B6" s="667"/>
      <c r="C6" s="670"/>
      <c r="D6" s="670"/>
      <c r="E6" s="670"/>
      <c r="F6" s="670"/>
      <c r="G6" s="670"/>
      <c r="H6" s="438" t="s">
        <v>107</v>
      </c>
      <c r="I6" s="438" t="s">
        <v>12</v>
      </c>
      <c r="J6" s="438" t="s">
        <v>107</v>
      </c>
      <c r="K6" s="438" t="s">
        <v>12</v>
      </c>
      <c r="L6" s="438" t="s">
        <v>107</v>
      </c>
      <c r="M6" s="438" t="s">
        <v>12</v>
      </c>
      <c r="N6" s="438" t="s">
        <v>107</v>
      </c>
      <c r="O6" s="438" t="s">
        <v>12</v>
      </c>
      <c r="P6" s="438" t="s">
        <v>107</v>
      </c>
      <c r="Q6" s="438" t="s">
        <v>12</v>
      </c>
      <c r="R6" s="667"/>
      <c r="S6" s="667"/>
      <c r="T6" s="667"/>
      <c r="U6" s="664"/>
    </row>
    <row r="7" spans="1:28" s="67" customFormat="1" ht="15.75" x14ac:dyDescent="0.25">
      <c r="A7" s="439"/>
      <c r="B7" s="440"/>
      <c r="C7" s="441"/>
      <c r="D7" s="441"/>
      <c r="E7" s="441"/>
      <c r="F7" s="442"/>
      <c r="G7" s="441"/>
      <c r="H7" s="443"/>
      <c r="I7" s="443"/>
      <c r="J7" s="443"/>
      <c r="K7" s="443"/>
      <c r="L7" s="443"/>
      <c r="M7" s="443"/>
      <c r="N7" s="443"/>
      <c r="O7" s="443"/>
      <c r="P7" s="443"/>
      <c r="Q7" s="443"/>
      <c r="R7" s="444"/>
      <c r="S7" s="444"/>
      <c r="T7" s="444"/>
      <c r="U7" s="445"/>
    </row>
    <row r="8" spans="1:28" ht="15.75" x14ac:dyDescent="0.25">
      <c r="A8" s="687" t="s">
        <v>1376</v>
      </c>
      <c r="B8" s="687" t="s">
        <v>1444</v>
      </c>
      <c r="C8" s="306"/>
      <c r="D8" s="306"/>
      <c r="E8" s="306"/>
      <c r="F8" s="306"/>
      <c r="G8" s="306"/>
      <c r="H8" s="249"/>
      <c r="I8" s="249"/>
      <c r="J8" s="250"/>
      <c r="K8" s="251"/>
      <c r="L8" s="249"/>
      <c r="M8" s="230"/>
      <c r="N8" s="250"/>
      <c r="O8" s="230"/>
      <c r="P8" s="381">
        <f>H8+J8+L8+N8</f>
        <v>0</v>
      </c>
      <c r="Q8" s="382">
        <f>I8+K8+M8+O8</f>
        <v>0</v>
      </c>
      <c r="R8" s="249"/>
      <c r="S8" s="249"/>
      <c r="T8" s="249"/>
      <c r="U8" s="306"/>
    </row>
    <row r="9" spans="1:28" ht="15.75" x14ac:dyDescent="0.25">
      <c r="A9" s="688"/>
      <c r="B9" s="688"/>
      <c r="C9" s="306"/>
      <c r="D9" s="306"/>
      <c r="E9" s="306"/>
      <c r="F9" s="306"/>
      <c r="G9" s="306"/>
      <c r="H9" s="249"/>
      <c r="I9" s="249"/>
      <c r="J9" s="250"/>
      <c r="K9" s="251"/>
      <c r="L9" s="249"/>
      <c r="M9" s="230"/>
      <c r="N9" s="250"/>
      <c r="O9" s="230"/>
      <c r="P9" s="381">
        <f t="shared" ref="P9:P46" si="0">H9+J9+L9+N9</f>
        <v>0</v>
      </c>
      <c r="Q9" s="382">
        <f t="shared" ref="Q9:Q46" si="1">I9+K9+M9+O9</f>
        <v>0</v>
      </c>
      <c r="R9" s="249"/>
      <c r="S9" s="249"/>
      <c r="T9" s="249"/>
      <c r="U9" s="306"/>
    </row>
    <row r="10" spans="1:28" ht="15.75" x14ac:dyDescent="0.25">
      <c r="A10" s="688"/>
      <c r="B10" s="688"/>
      <c r="C10" s="306"/>
      <c r="D10" s="306"/>
      <c r="E10" s="306"/>
      <c r="F10" s="306"/>
      <c r="G10" s="306"/>
      <c r="H10" s="249"/>
      <c r="I10" s="249"/>
      <c r="J10" s="250"/>
      <c r="K10" s="251"/>
      <c r="L10" s="249"/>
      <c r="M10" s="230"/>
      <c r="N10" s="250"/>
      <c r="O10" s="230"/>
      <c r="P10" s="381">
        <f t="shared" si="0"/>
        <v>0</v>
      </c>
      <c r="Q10" s="382">
        <f t="shared" si="1"/>
        <v>0</v>
      </c>
      <c r="R10" s="249"/>
      <c r="S10" s="249"/>
      <c r="T10" s="249"/>
      <c r="U10" s="306"/>
    </row>
    <row r="11" spans="1:28" ht="15.75" x14ac:dyDescent="0.25">
      <c r="A11" s="688"/>
      <c r="B11" s="688"/>
      <c r="C11" s="306"/>
      <c r="D11" s="306"/>
      <c r="E11" s="306"/>
      <c r="F11" s="306"/>
      <c r="G11" s="306"/>
      <c r="H11" s="249"/>
      <c r="I11" s="249"/>
      <c r="J11" s="250"/>
      <c r="K11" s="251"/>
      <c r="L11" s="249"/>
      <c r="M11" s="230"/>
      <c r="N11" s="250"/>
      <c r="O11" s="230"/>
      <c r="P11" s="381">
        <f t="shared" si="0"/>
        <v>0</v>
      </c>
      <c r="Q11" s="382">
        <f t="shared" si="1"/>
        <v>0</v>
      </c>
      <c r="R11" s="249"/>
      <c r="S11" s="249"/>
      <c r="T11" s="249"/>
      <c r="U11" s="306"/>
    </row>
    <row r="12" spans="1:28" ht="15.75" x14ac:dyDescent="0.25">
      <c r="A12" s="688"/>
      <c r="B12" s="688"/>
      <c r="C12" s="306"/>
      <c r="D12" s="306"/>
      <c r="E12" s="306"/>
      <c r="F12" s="306"/>
      <c r="G12" s="306"/>
      <c r="H12" s="249"/>
      <c r="I12" s="249"/>
      <c r="J12" s="250"/>
      <c r="K12" s="251"/>
      <c r="L12" s="249"/>
      <c r="M12" s="230"/>
      <c r="N12" s="250"/>
      <c r="O12" s="230"/>
      <c r="P12" s="381">
        <f t="shared" si="0"/>
        <v>0</v>
      </c>
      <c r="Q12" s="382">
        <f t="shared" si="1"/>
        <v>0</v>
      </c>
      <c r="R12" s="249"/>
      <c r="S12" s="249"/>
      <c r="T12" s="249"/>
      <c r="U12" s="306"/>
    </row>
    <row r="13" spans="1:28" ht="15.75" x14ac:dyDescent="0.25">
      <c r="A13" s="688"/>
      <c r="B13" s="689"/>
      <c r="C13" s="306"/>
      <c r="D13" s="306"/>
      <c r="E13" s="306"/>
      <c r="F13" s="306"/>
      <c r="G13" s="306"/>
      <c r="H13" s="249"/>
      <c r="I13" s="249"/>
      <c r="J13" s="250"/>
      <c r="K13" s="251"/>
      <c r="L13" s="249"/>
      <c r="M13" s="230"/>
      <c r="N13" s="250"/>
      <c r="O13" s="230"/>
      <c r="P13" s="381">
        <f t="shared" si="0"/>
        <v>0</v>
      </c>
      <c r="Q13" s="382">
        <f t="shared" si="1"/>
        <v>0</v>
      </c>
      <c r="R13" s="249"/>
      <c r="S13" s="249"/>
      <c r="T13" s="249"/>
      <c r="U13" s="306"/>
    </row>
    <row r="14" spans="1:28" ht="15.75" x14ac:dyDescent="0.25">
      <c r="A14" s="688"/>
      <c r="B14" s="687" t="s">
        <v>1445</v>
      </c>
      <c r="C14" s="306"/>
      <c r="D14" s="306"/>
      <c r="E14" s="306"/>
      <c r="F14" s="306"/>
      <c r="G14" s="306"/>
      <c r="H14" s="249"/>
      <c r="I14" s="249"/>
      <c r="J14" s="250"/>
      <c r="K14" s="251"/>
      <c r="L14" s="249"/>
      <c r="M14" s="230"/>
      <c r="N14" s="250"/>
      <c r="O14" s="230"/>
      <c r="P14" s="381">
        <f t="shared" si="0"/>
        <v>0</v>
      </c>
      <c r="Q14" s="382">
        <f t="shared" si="1"/>
        <v>0</v>
      </c>
      <c r="R14" s="249"/>
      <c r="S14" s="249"/>
      <c r="T14" s="249"/>
      <c r="U14" s="306"/>
    </row>
    <row r="15" spans="1:28" ht="15.75" x14ac:dyDescent="0.25">
      <c r="A15" s="688"/>
      <c r="B15" s="688"/>
      <c r="C15" s="306"/>
      <c r="D15" s="306"/>
      <c r="E15" s="306"/>
      <c r="F15" s="306"/>
      <c r="G15" s="306"/>
      <c r="H15" s="249"/>
      <c r="I15" s="249"/>
      <c r="J15" s="250"/>
      <c r="K15" s="251"/>
      <c r="L15" s="249"/>
      <c r="M15" s="230"/>
      <c r="N15" s="250"/>
      <c r="O15" s="230"/>
      <c r="P15" s="381">
        <f t="shared" si="0"/>
        <v>0</v>
      </c>
      <c r="Q15" s="382">
        <f t="shared" si="1"/>
        <v>0</v>
      </c>
      <c r="R15" s="249"/>
      <c r="S15" s="249"/>
      <c r="T15" s="249"/>
      <c r="U15" s="306"/>
    </row>
    <row r="16" spans="1:28" ht="15.75" x14ac:dyDescent="0.25">
      <c r="A16" s="688"/>
      <c r="B16" s="688"/>
      <c r="C16" s="306"/>
      <c r="D16" s="306"/>
      <c r="E16" s="306"/>
      <c r="F16" s="306"/>
      <c r="G16" s="306"/>
      <c r="H16" s="249"/>
      <c r="I16" s="249"/>
      <c r="J16" s="250"/>
      <c r="K16" s="251"/>
      <c r="L16" s="249"/>
      <c r="M16" s="230"/>
      <c r="N16" s="250"/>
      <c r="O16" s="230"/>
      <c r="P16" s="381">
        <f t="shared" si="0"/>
        <v>0</v>
      </c>
      <c r="Q16" s="382">
        <f t="shared" si="1"/>
        <v>0</v>
      </c>
      <c r="R16" s="249"/>
      <c r="S16" s="249"/>
      <c r="T16" s="249"/>
      <c r="U16" s="306"/>
    </row>
    <row r="17" spans="1:21" ht="15.75" x14ac:dyDescent="0.25">
      <c r="A17" s="688"/>
      <c r="B17" s="688"/>
      <c r="C17" s="306"/>
      <c r="D17" s="306"/>
      <c r="E17" s="306"/>
      <c r="F17" s="306"/>
      <c r="G17" s="345"/>
      <c r="H17" s="249"/>
      <c r="I17" s="249"/>
      <c r="J17" s="249"/>
      <c r="K17" s="249"/>
      <c r="L17" s="249"/>
      <c r="M17" s="230"/>
      <c r="N17" s="249"/>
      <c r="O17" s="230"/>
      <c r="P17" s="381">
        <f t="shared" si="0"/>
        <v>0</v>
      </c>
      <c r="Q17" s="382">
        <f t="shared" si="1"/>
        <v>0</v>
      </c>
      <c r="R17" s="254"/>
      <c r="S17" s="254"/>
      <c r="T17" s="254"/>
      <c r="U17" s="306"/>
    </row>
    <row r="18" spans="1:21" ht="15.75" x14ac:dyDescent="0.25">
      <c r="A18" s="688"/>
      <c r="B18" s="688"/>
      <c r="C18" s="306"/>
      <c r="D18" s="306"/>
      <c r="E18" s="306"/>
      <c r="F18" s="306"/>
      <c r="G18" s="345"/>
      <c r="H18" s="249"/>
      <c r="I18" s="249"/>
      <c r="J18" s="249"/>
      <c r="K18" s="249"/>
      <c r="L18" s="249"/>
      <c r="M18" s="230"/>
      <c r="N18" s="249"/>
      <c r="O18" s="230"/>
      <c r="P18" s="381">
        <f t="shared" si="0"/>
        <v>0</v>
      </c>
      <c r="Q18" s="382">
        <f t="shared" si="1"/>
        <v>0</v>
      </c>
      <c r="R18" s="254"/>
      <c r="S18" s="254"/>
      <c r="T18" s="254"/>
      <c r="U18" s="306"/>
    </row>
    <row r="19" spans="1:21" ht="15.75" x14ac:dyDescent="0.25">
      <c r="A19" s="688"/>
      <c r="B19" s="689"/>
      <c r="C19" s="306"/>
      <c r="D19" s="306"/>
      <c r="E19" s="306"/>
      <c r="F19" s="306"/>
      <c r="G19" s="306"/>
      <c r="H19" s="249"/>
      <c r="I19" s="346"/>
      <c r="J19" s="249"/>
      <c r="K19" s="346"/>
      <c r="L19" s="249"/>
      <c r="M19" s="230"/>
      <c r="N19" s="249"/>
      <c r="O19" s="230"/>
      <c r="P19" s="381">
        <f t="shared" si="0"/>
        <v>0</v>
      </c>
      <c r="Q19" s="382">
        <f t="shared" si="1"/>
        <v>0</v>
      </c>
      <c r="R19" s="249"/>
      <c r="S19" s="249"/>
      <c r="T19" s="249"/>
      <c r="U19" s="306"/>
    </row>
    <row r="20" spans="1:21" ht="15.75" x14ac:dyDescent="0.25">
      <c r="A20" s="688"/>
      <c r="B20" s="687" t="s">
        <v>1446</v>
      </c>
      <c r="C20" s="306"/>
      <c r="D20" s="306"/>
      <c r="E20" s="306"/>
      <c r="F20" s="306"/>
      <c r="G20" s="306"/>
      <c r="H20" s="249"/>
      <c r="I20" s="346"/>
      <c r="J20" s="249"/>
      <c r="K20" s="346"/>
      <c r="L20" s="249"/>
      <c r="M20" s="230"/>
      <c r="N20" s="249"/>
      <c r="O20" s="230"/>
      <c r="P20" s="381">
        <f t="shared" si="0"/>
        <v>0</v>
      </c>
      <c r="Q20" s="382">
        <f t="shared" si="1"/>
        <v>0</v>
      </c>
      <c r="R20" s="249"/>
      <c r="S20" s="249"/>
      <c r="T20" s="249"/>
      <c r="U20" s="306"/>
    </row>
    <row r="21" spans="1:21" ht="15.75" x14ac:dyDescent="0.25">
      <c r="A21" s="688"/>
      <c r="B21" s="688"/>
      <c r="C21" s="306"/>
      <c r="D21" s="306"/>
      <c r="E21" s="306"/>
      <c r="F21" s="306"/>
      <c r="G21" s="249"/>
      <c r="H21" s="250"/>
      <c r="I21" s="249"/>
      <c r="J21" s="250"/>
      <c r="K21" s="249"/>
      <c r="L21" s="250"/>
      <c r="M21" s="230"/>
      <c r="N21" s="250"/>
      <c r="O21" s="230"/>
      <c r="P21" s="381">
        <f t="shared" si="0"/>
        <v>0</v>
      </c>
      <c r="Q21" s="382">
        <f t="shared" si="1"/>
        <v>0</v>
      </c>
      <c r="R21" s="249"/>
      <c r="S21" s="249"/>
      <c r="T21" s="249"/>
      <c r="U21" s="249"/>
    </row>
    <row r="22" spans="1:21" ht="15.75" x14ac:dyDescent="0.25">
      <c r="A22" s="688"/>
      <c r="B22" s="688"/>
      <c r="C22" s="306"/>
      <c r="D22" s="306"/>
      <c r="E22" s="306"/>
      <c r="F22" s="306"/>
      <c r="G22" s="249"/>
      <c r="H22" s="250"/>
      <c r="I22" s="249"/>
      <c r="J22" s="250"/>
      <c r="K22" s="249"/>
      <c r="L22" s="250"/>
      <c r="M22" s="230"/>
      <c r="N22" s="250"/>
      <c r="O22" s="230"/>
      <c r="P22" s="381">
        <f t="shared" si="0"/>
        <v>0</v>
      </c>
      <c r="Q22" s="382">
        <f t="shared" si="1"/>
        <v>0</v>
      </c>
      <c r="R22" s="249"/>
      <c r="S22" s="249"/>
      <c r="T22" s="249"/>
      <c r="U22" s="249"/>
    </row>
    <row r="23" spans="1:21" ht="15.75" x14ac:dyDescent="0.25">
      <c r="A23" s="688"/>
      <c r="B23" s="688"/>
      <c r="C23" s="306"/>
      <c r="D23" s="306"/>
      <c r="E23" s="306"/>
      <c r="F23" s="306"/>
      <c r="G23" s="249"/>
      <c r="H23" s="250"/>
      <c r="I23" s="249"/>
      <c r="J23" s="250"/>
      <c r="K23" s="249"/>
      <c r="L23" s="250"/>
      <c r="M23" s="230"/>
      <c r="N23" s="250"/>
      <c r="O23" s="230"/>
      <c r="P23" s="381">
        <f t="shared" si="0"/>
        <v>0</v>
      </c>
      <c r="Q23" s="382">
        <f t="shared" si="1"/>
        <v>0</v>
      </c>
      <c r="R23" s="249"/>
      <c r="S23" s="249"/>
      <c r="T23" s="249"/>
      <c r="U23" s="249"/>
    </row>
    <row r="24" spans="1:21" ht="15.75" x14ac:dyDescent="0.25">
      <c r="A24" s="688"/>
      <c r="B24" s="688"/>
      <c r="C24" s="306"/>
      <c r="D24" s="306"/>
      <c r="E24" s="306"/>
      <c r="F24" s="306"/>
      <c r="G24" s="249"/>
      <c r="H24" s="250"/>
      <c r="I24" s="249"/>
      <c r="J24" s="250"/>
      <c r="K24" s="249"/>
      <c r="L24" s="250"/>
      <c r="M24" s="230"/>
      <c r="N24" s="250"/>
      <c r="O24" s="230"/>
      <c r="P24" s="381">
        <f t="shared" si="0"/>
        <v>0</v>
      </c>
      <c r="Q24" s="382">
        <f t="shared" si="1"/>
        <v>0</v>
      </c>
      <c r="R24" s="249"/>
      <c r="S24" s="249"/>
      <c r="T24" s="249"/>
      <c r="U24" s="249"/>
    </row>
    <row r="25" spans="1:21" ht="15.75" x14ac:dyDescent="0.25">
      <c r="A25" s="688"/>
      <c r="B25" s="688"/>
      <c r="C25" s="306"/>
      <c r="D25" s="306"/>
      <c r="E25" s="306"/>
      <c r="F25" s="306"/>
      <c r="G25" s="249"/>
      <c r="H25" s="250"/>
      <c r="I25" s="249"/>
      <c r="J25" s="250"/>
      <c r="K25" s="249"/>
      <c r="L25" s="250"/>
      <c r="M25" s="230"/>
      <c r="N25" s="250"/>
      <c r="O25" s="230"/>
      <c r="P25" s="381">
        <f t="shared" si="0"/>
        <v>0</v>
      </c>
      <c r="Q25" s="382">
        <f t="shared" si="1"/>
        <v>0</v>
      </c>
      <c r="R25" s="249"/>
      <c r="S25" s="249"/>
      <c r="T25" s="249"/>
      <c r="U25" s="249"/>
    </row>
    <row r="26" spans="1:21" ht="15.75" x14ac:dyDescent="0.25">
      <c r="A26" s="688"/>
      <c r="B26" s="688"/>
      <c r="C26" s="248"/>
      <c r="D26" s="248"/>
      <c r="E26" s="306"/>
      <c r="F26" s="306"/>
      <c r="G26" s="306"/>
      <c r="H26" s="250"/>
      <c r="I26" s="253"/>
      <c r="J26" s="250"/>
      <c r="K26" s="253"/>
      <c r="L26" s="250"/>
      <c r="M26" s="230"/>
      <c r="N26" s="250"/>
      <c r="O26" s="230"/>
      <c r="P26" s="381">
        <f t="shared" si="0"/>
        <v>0</v>
      </c>
      <c r="Q26" s="382">
        <f t="shared" si="1"/>
        <v>0</v>
      </c>
      <c r="R26" s="249"/>
      <c r="S26" s="249"/>
      <c r="T26" s="249"/>
      <c r="U26" s="306"/>
    </row>
    <row r="27" spans="1:21" ht="15.75" x14ac:dyDescent="0.25">
      <c r="A27" s="688"/>
      <c r="B27" s="689"/>
      <c r="C27" s="248"/>
      <c r="D27" s="248"/>
      <c r="E27" s="306"/>
      <c r="F27" s="306"/>
      <c r="G27" s="277"/>
      <c r="H27" s="250"/>
      <c r="I27" s="249"/>
      <c r="J27" s="250"/>
      <c r="K27" s="249"/>
      <c r="L27" s="250"/>
      <c r="M27" s="230"/>
      <c r="N27" s="250"/>
      <c r="O27" s="230"/>
      <c r="P27" s="381">
        <f t="shared" si="0"/>
        <v>0</v>
      </c>
      <c r="Q27" s="382">
        <f t="shared" si="1"/>
        <v>0</v>
      </c>
      <c r="R27" s="249"/>
      <c r="S27" s="249"/>
      <c r="T27" s="249"/>
      <c r="U27" s="306"/>
    </row>
    <row r="28" spans="1:21" ht="15.75" customHeight="1" x14ac:dyDescent="0.25">
      <c r="A28" s="688"/>
      <c r="B28" s="690" t="s">
        <v>1495</v>
      </c>
      <c r="C28" s="248"/>
      <c r="D28" s="248"/>
      <c r="E28" s="306"/>
      <c r="F28" s="306"/>
      <c r="G28" s="306"/>
      <c r="H28" s="249"/>
      <c r="I28" s="249"/>
      <c r="J28" s="205"/>
      <c r="K28" s="249"/>
      <c r="L28" s="249"/>
      <c r="M28" s="230"/>
      <c r="N28" s="249"/>
      <c r="O28" s="230"/>
      <c r="P28" s="381">
        <f t="shared" si="0"/>
        <v>0</v>
      </c>
      <c r="Q28" s="382">
        <f t="shared" si="1"/>
        <v>0</v>
      </c>
      <c r="R28" s="249"/>
      <c r="S28" s="249"/>
      <c r="T28" s="249"/>
      <c r="U28" s="306"/>
    </row>
    <row r="29" spans="1:21" ht="15.75" x14ac:dyDescent="0.25">
      <c r="A29" s="688"/>
      <c r="B29" s="690"/>
      <c r="C29" s="248"/>
      <c r="D29" s="248"/>
      <c r="E29" s="306"/>
      <c r="F29" s="306"/>
      <c r="G29" s="306"/>
      <c r="H29" s="249"/>
      <c r="I29" s="249"/>
      <c r="J29" s="205"/>
      <c r="K29" s="249"/>
      <c r="L29" s="249"/>
      <c r="M29" s="230"/>
      <c r="N29" s="249"/>
      <c r="O29" s="230"/>
      <c r="P29" s="381">
        <f t="shared" si="0"/>
        <v>0</v>
      </c>
      <c r="Q29" s="382">
        <f t="shared" si="1"/>
        <v>0</v>
      </c>
      <c r="R29" s="249"/>
      <c r="S29" s="249"/>
      <c r="T29" s="249"/>
      <c r="U29" s="306"/>
    </row>
    <row r="30" spans="1:21" ht="15.75" x14ac:dyDescent="0.25">
      <c r="A30" s="688"/>
      <c r="B30" s="690"/>
      <c r="C30" s="248"/>
      <c r="D30" s="248"/>
      <c r="E30" s="306"/>
      <c r="F30" s="306"/>
      <c r="G30" s="306"/>
      <c r="H30" s="249"/>
      <c r="I30" s="249"/>
      <c r="J30" s="205"/>
      <c r="K30" s="249"/>
      <c r="L30" s="249"/>
      <c r="M30" s="230"/>
      <c r="N30" s="249"/>
      <c r="O30" s="230"/>
      <c r="P30" s="381">
        <f t="shared" si="0"/>
        <v>0</v>
      </c>
      <c r="Q30" s="382">
        <f t="shared" si="1"/>
        <v>0</v>
      </c>
      <c r="R30" s="249"/>
      <c r="S30" s="249"/>
      <c r="T30" s="249"/>
      <c r="U30" s="306"/>
    </row>
    <row r="31" spans="1:21" ht="15.75" x14ac:dyDescent="0.25">
      <c r="A31" s="688"/>
      <c r="B31" s="690"/>
      <c r="C31" s="248"/>
      <c r="D31" s="248"/>
      <c r="E31" s="306"/>
      <c r="F31" s="306"/>
      <c r="G31" s="306"/>
      <c r="H31" s="249"/>
      <c r="I31" s="249"/>
      <c r="J31" s="205"/>
      <c r="K31" s="249"/>
      <c r="L31" s="249"/>
      <c r="M31" s="230"/>
      <c r="N31" s="249"/>
      <c r="O31" s="230"/>
      <c r="P31" s="381"/>
      <c r="Q31" s="382"/>
      <c r="R31" s="249"/>
      <c r="S31" s="249"/>
      <c r="T31" s="249"/>
      <c r="U31" s="306"/>
    </row>
    <row r="32" spans="1:21" ht="15.75" x14ac:dyDescent="0.25">
      <c r="A32" s="688"/>
      <c r="B32" s="690"/>
      <c r="C32" s="248"/>
      <c r="D32" s="248"/>
      <c r="E32" s="306"/>
      <c r="F32" s="306"/>
      <c r="G32" s="306"/>
      <c r="H32" s="249"/>
      <c r="I32" s="249"/>
      <c r="J32" s="205"/>
      <c r="K32" s="249"/>
      <c r="L32" s="249"/>
      <c r="M32" s="230"/>
      <c r="N32" s="249"/>
      <c r="O32" s="230"/>
      <c r="P32" s="381"/>
      <c r="Q32" s="382"/>
      <c r="R32" s="249"/>
      <c r="S32" s="249"/>
      <c r="T32" s="249"/>
      <c r="U32" s="306"/>
    </row>
    <row r="33" spans="1:21" ht="15.75" x14ac:dyDescent="0.25">
      <c r="A33" s="688"/>
      <c r="B33" s="690"/>
      <c r="C33" s="248"/>
      <c r="D33" s="248"/>
      <c r="E33" s="306"/>
      <c r="F33" s="306"/>
      <c r="G33" s="306"/>
      <c r="H33" s="249"/>
      <c r="I33" s="249"/>
      <c r="J33" s="205"/>
      <c r="K33" s="249"/>
      <c r="L33" s="249"/>
      <c r="M33" s="230"/>
      <c r="N33" s="249"/>
      <c r="O33" s="230"/>
      <c r="P33" s="381">
        <f t="shared" si="0"/>
        <v>0</v>
      </c>
      <c r="Q33" s="382">
        <f t="shared" si="1"/>
        <v>0</v>
      </c>
      <c r="R33" s="249"/>
      <c r="S33" s="249"/>
      <c r="T33" s="249"/>
      <c r="U33" s="306"/>
    </row>
    <row r="34" spans="1:21" ht="15.75" x14ac:dyDescent="0.25">
      <c r="A34" s="688"/>
      <c r="B34" s="690"/>
      <c r="C34" s="248"/>
      <c r="D34" s="248"/>
      <c r="E34" s="306"/>
      <c r="F34" s="306"/>
      <c r="G34" s="306"/>
      <c r="H34" s="249"/>
      <c r="I34" s="249"/>
      <c r="J34" s="205"/>
      <c r="K34" s="249"/>
      <c r="L34" s="249"/>
      <c r="M34" s="230"/>
      <c r="N34" s="249"/>
      <c r="O34" s="230"/>
      <c r="P34" s="381">
        <f t="shared" si="0"/>
        <v>0</v>
      </c>
      <c r="Q34" s="382">
        <f t="shared" si="1"/>
        <v>0</v>
      </c>
      <c r="R34" s="249"/>
      <c r="S34" s="249"/>
      <c r="T34" s="249"/>
      <c r="U34" s="306"/>
    </row>
    <row r="35" spans="1:21" ht="15.75" x14ac:dyDescent="0.25">
      <c r="A35" s="688"/>
      <c r="B35" s="690"/>
      <c r="C35" s="248"/>
      <c r="D35" s="248"/>
      <c r="E35" s="306"/>
      <c r="F35" s="306"/>
      <c r="G35" s="306"/>
      <c r="H35" s="249"/>
      <c r="I35" s="249"/>
      <c r="J35" s="205"/>
      <c r="K35" s="249"/>
      <c r="L35" s="249"/>
      <c r="M35" s="230"/>
      <c r="N35" s="249"/>
      <c r="O35" s="230"/>
      <c r="P35" s="381">
        <f t="shared" si="0"/>
        <v>0</v>
      </c>
      <c r="Q35" s="382">
        <f t="shared" si="1"/>
        <v>0</v>
      </c>
      <c r="R35" s="249"/>
      <c r="S35" s="249"/>
      <c r="T35" s="249"/>
      <c r="U35" s="306"/>
    </row>
    <row r="36" spans="1:21" ht="15.75" x14ac:dyDescent="0.25">
      <c r="A36" s="688"/>
      <c r="B36" s="690"/>
      <c r="C36" s="248"/>
      <c r="D36" s="248"/>
      <c r="E36" s="306"/>
      <c r="F36" s="306"/>
      <c r="G36" s="306"/>
      <c r="H36" s="249"/>
      <c r="I36" s="249"/>
      <c r="J36" s="205"/>
      <c r="K36" s="249"/>
      <c r="L36" s="249"/>
      <c r="M36" s="230"/>
      <c r="N36" s="249"/>
      <c r="O36" s="230"/>
      <c r="P36" s="381">
        <f t="shared" si="0"/>
        <v>0</v>
      </c>
      <c r="Q36" s="382">
        <f t="shared" si="1"/>
        <v>0</v>
      </c>
      <c r="R36" s="249"/>
      <c r="S36" s="249"/>
      <c r="T36" s="249"/>
      <c r="U36" s="306"/>
    </row>
    <row r="37" spans="1:21" ht="15.75" x14ac:dyDescent="0.25">
      <c r="A37" s="688"/>
      <c r="B37" s="690"/>
      <c r="C37" s="248"/>
      <c r="D37" s="248"/>
      <c r="E37" s="306"/>
      <c r="F37" s="306"/>
      <c r="G37" s="306"/>
      <c r="H37" s="249"/>
      <c r="I37" s="249"/>
      <c r="J37" s="205"/>
      <c r="K37" s="249"/>
      <c r="L37" s="249"/>
      <c r="M37" s="230"/>
      <c r="N37" s="249"/>
      <c r="O37" s="230"/>
      <c r="P37" s="381">
        <f t="shared" si="0"/>
        <v>0</v>
      </c>
      <c r="Q37" s="382">
        <f t="shared" si="1"/>
        <v>0</v>
      </c>
      <c r="R37" s="249"/>
      <c r="S37" s="249"/>
      <c r="T37" s="249"/>
      <c r="U37" s="306"/>
    </row>
    <row r="38" spans="1:21" ht="15.75" x14ac:dyDescent="0.25">
      <c r="A38" s="688"/>
      <c r="B38" s="690"/>
      <c r="C38" s="248"/>
      <c r="D38" s="248"/>
      <c r="E38" s="306"/>
      <c r="F38" s="306"/>
      <c r="G38" s="306"/>
      <c r="H38" s="249"/>
      <c r="I38" s="249"/>
      <c r="J38" s="205"/>
      <c r="K38" s="249"/>
      <c r="L38" s="249"/>
      <c r="M38" s="230"/>
      <c r="N38" s="249"/>
      <c r="O38" s="230"/>
      <c r="P38" s="381">
        <f t="shared" si="0"/>
        <v>0</v>
      </c>
      <c r="Q38" s="382">
        <f t="shared" si="1"/>
        <v>0</v>
      </c>
      <c r="R38" s="249"/>
      <c r="S38" s="249"/>
      <c r="T38" s="249"/>
      <c r="U38" s="306"/>
    </row>
    <row r="39" spans="1:21" ht="15.75" x14ac:dyDescent="0.25">
      <c r="A39" s="688"/>
      <c r="B39" s="690" t="s">
        <v>1447</v>
      </c>
      <c r="C39" s="248"/>
      <c r="D39" s="248"/>
      <c r="E39" s="306"/>
      <c r="F39" s="306"/>
      <c r="G39" s="306"/>
      <c r="H39" s="249"/>
      <c r="I39" s="249"/>
      <c r="J39" s="205"/>
      <c r="K39" s="249"/>
      <c r="L39" s="249"/>
      <c r="M39" s="230"/>
      <c r="N39" s="249"/>
      <c r="O39" s="230"/>
      <c r="P39" s="381">
        <f t="shared" si="0"/>
        <v>0</v>
      </c>
      <c r="Q39" s="382">
        <f t="shared" si="1"/>
        <v>0</v>
      </c>
      <c r="R39" s="249"/>
      <c r="S39" s="249"/>
      <c r="T39" s="249"/>
      <c r="U39" s="306"/>
    </row>
    <row r="40" spans="1:21" ht="15.75" x14ac:dyDescent="0.25">
      <c r="A40" s="688"/>
      <c r="B40" s="690"/>
      <c r="C40" s="306"/>
      <c r="D40" s="306"/>
      <c r="E40" s="306"/>
      <c r="F40" s="306"/>
      <c r="G40" s="306"/>
      <c r="H40" s="249"/>
      <c r="I40" s="249"/>
      <c r="J40" s="205"/>
      <c r="K40" s="249"/>
      <c r="L40" s="249"/>
      <c r="M40" s="230"/>
      <c r="N40" s="249"/>
      <c r="O40" s="230"/>
      <c r="P40" s="381">
        <f t="shared" si="0"/>
        <v>0</v>
      </c>
      <c r="Q40" s="382">
        <f t="shared" si="1"/>
        <v>0</v>
      </c>
      <c r="R40" s="249"/>
      <c r="S40" s="249"/>
      <c r="T40" s="249"/>
      <c r="U40" s="306"/>
    </row>
    <row r="41" spans="1:21" ht="15.75" x14ac:dyDescent="0.25">
      <c r="A41" s="688"/>
      <c r="B41" s="690"/>
      <c r="C41" s="306"/>
      <c r="D41" s="306"/>
      <c r="E41" s="306"/>
      <c r="F41" s="306"/>
      <c r="G41" s="306"/>
      <c r="H41" s="249"/>
      <c r="I41" s="249"/>
      <c r="J41" s="205"/>
      <c r="K41" s="249"/>
      <c r="L41" s="249"/>
      <c r="M41" s="230"/>
      <c r="N41" s="249"/>
      <c r="O41" s="230"/>
      <c r="P41" s="381">
        <f t="shared" si="0"/>
        <v>0</v>
      </c>
      <c r="Q41" s="382">
        <f t="shared" si="1"/>
        <v>0</v>
      </c>
      <c r="R41" s="249"/>
      <c r="S41" s="249"/>
      <c r="T41" s="249"/>
      <c r="U41" s="306"/>
    </row>
    <row r="42" spans="1:21" ht="15.75" x14ac:dyDescent="0.25">
      <c r="A42" s="688"/>
      <c r="B42" s="690"/>
      <c r="C42" s="306"/>
      <c r="D42" s="306"/>
      <c r="E42" s="306"/>
      <c r="F42" s="306"/>
      <c r="G42" s="306"/>
      <c r="H42" s="249"/>
      <c r="I42" s="249"/>
      <c r="J42" s="205"/>
      <c r="K42" s="249"/>
      <c r="L42" s="249"/>
      <c r="M42" s="230"/>
      <c r="N42" s="249"/>
      <c r="O42" s="230"/>
      <c r="P42" s="381">
        <f t="shared" si="0"/>
        <v>0</v>
      </c>
      <c r="Q42" s="382">
        <f t="shared" si="1"/>
        <v>0</v>
      </c>
      <c r="R42" s="249"/>
      <c r="S42" s="249"/>
      <c r="T42" s="249"/>
      <c r="U42" s="306"/>
    </row>
    <row r="43" spans="1:21" ht="15.75" x14ac:dyDescent="0.25">
      <c r="A43" s="688"/>
      <c r="B43" s="690"/>
      <c r="C43" s="306"/>
      <c r="D43" s="306"/>
      <c r="E43" s="306"/>
      <c r="F43" s="306"/>
      <c r="G43" s="306"/>
      <c r="H43" s="249"/>
      <c r="I43" s="249"/>
      <c r="J43" s="205"/>
      <c r="K43" s="249"/>
      <c r="L43" s="249"/>
      <c r="M43" s="230"/>
      <c r="N43" s="249"/>
      <c r="O43" s="230"/>
      <c r="P43" s="381">
        <f t="shared" si="0"/>
        <v>0</v>
      </c>
      <c r="Q43" s="382">
        <f t="shared" si="1"/>
        <v>0</v>
      </c>
      <c r="R43" s="249"/>
      <c r="S43" s="249"/>
      <c r="T43" s="249"/>
      <c r="U43" s="306"/>
    </row>
    <row r="44" spans="1:21" ht="15.75" x14ac:dyDescent="0.25">
      <c r="A44" s="688"/>
      <c r="B44" s="690"/>
      <c r="C44" s="306"/>
      <c r="D44" s="306"/>
      <c r="E44" s="306"/>
      <c r="F44" s="306"/>
      <c r="G44" s="306"/>
      <c r="H44" s="249"/>
      <c r="I44" s="249"/>
      <c r="J44" s="205"/>
      <c r="K44" s="249"/>
      <c r="L44" s="249"/>
      <c r="M44" s="230"/>
      <c r="N44" s="249"/>
      <c r="O44" s="230"/>
      <c r="P44" s="381">
        <f t="shared" si="0"/>
        <v>0</v>
      </c>
      <c r="Q44" s="382">
        <f t="shared" si="1"/>
        <v>0</v>
      </c>
      <c r="R44" s="249"/>
      <c r="S44" s="249"/>
      <c r="T44" s="249"/>
      <c r="U44" s="306"/>
    </row>
    <row r="45" spans="1:21" ht="15.75" x14ac:dyDescent="0.25">
      <c r="A45" s="688"/>
      <c r="B45" s="690"/>
      <c r="C45" s="306"/>
      <c r="D45" s="306"/>
      <c r="E45" s="306"/>
      <c r="F45" s="306"/>
      <c r="G45" s="306"/>
      <c r="H45" s="249"/>
      <c r="I45" s="249"/>
      <c r="J45" s="205"/>
      <c r="K45" s="249"/>
      <c r="L45" s="249"/>
      <c r="M45" s="230"/>
      <c r="N45" s="249"/>
      <c r="O45" s="230"/>
      <c r="P45" s="381">
        <f t="shared" si="0"/>
        <v>0</v>
      </c>
      <c r="Q45" s="382">
        <f t="shared" si="1"/>
        <v>0</v>
      </c>
      <c r="R45" s="249"/>
      <c r="S45" s="249"/>
      <c r="T45" s="249"/>
      <c r="U45" s="306"/>
    </row>
    <row r="46" spans="1:21" ht="15.75" x14ac:dyDescent="0.25">
      <c r="A46" s="688"/>
      <c r="B46" s="690"/>
      <c r="C46" s="306"/>
      <c r="D46" s="306"/>
      <c r="E46" s="306"/>
      <c r="F46" s="306"/>
      <c r="G46" s="306"/>
      <c r="H46" s="249"/>
      <c r="I46" s="249"/>
      <c r="J46" s="205"/>
      <c r="K46" s="249"/>
      <c r="L46" s="249"/>
      <c r="M46" s="230"/>
      <c r="N46" s="249"/>
      <c r="O46" s="230"/>
      <c r="P46" s="381">
        <f t="shared" si="0"/>
        <v>0</v>
      </c>
      <c r="Q46" s="382">
        <f t="shared" si="1"/>
        <v>0</v>
      </c>
      <c r="R46" s="249"/>
      <c r="S46" s="249"/>
      <c r="T46" s="249"/>
      <c r="U46" s="306"/>
    </row>
    <row r="47" spans="1:21" ht="15.75" x14ac:dyDescent="0.25">
      <c r="A47" s="291"/>
      <c r="B47" s="292"/>
      <c r="C47" s="291" t="s">
        <v>1377</v>
      </c>
      <c r="D47" s="292"/>
      <c r="E47" s="292"/>
      <c r="F47" s="292"/>
      <c r="G47" s="293"/>
      <c r="H47" s="255">
        <f t="shared" ref="H47:O47" si="2">SUM(H8:H46)</f>
        <v>0</v>
      </c>
      <c r="I47" s="255">
        <f t="shared" si="2"/>
        <v>0</v>
      </c>
      <c r="J47" s="255">
        <f t="shared" si="2"/>
        <v>0</v>
      </c>
      <c r="K47" s="255">
        <f t="shared" si="2"/>
        <v>0</v>
      </c>
      <c r="L47" s="255">
        <f t="shared" si="2"/>
        <v>0</v>
      </c>
      <c r="M47" s="255">
        <f t="shared" si="2"/>
        <v>0</v>
      </c>
      <c r="N47" s="255">
        <f t="shared" si="2"/>
        <v>0</v>
      </c>
      <c r="O47" s="255">
        <f t="shared" si="2"/>
        <v>0</v>
      </c>
      <c r="P47" s="255">
        <f>SUM(P8:P46)</f>
        <v>0</v>
      </c>
      <c r="Q47" s="255">
        <f>SUM(Q8:Q46)</f>
        <v>0</v>
      </c>
      <c r="R47" s="256"/>
      <c r="S47" s="256"/>
      <c r="T47" s="256"/>
      <c r="U47" s="256"/>
    </row>
    <row r="48" spans="1:21" ht="15.75" x14ac:dyDescent="0.25">
      <c r="A48" s="257"/>
      <c r="B48" s="258"/>
      <c r="C48" s="258"/>
      <c r="D48" s="258"/>
      <c r="E48" s="258"/>
      <c r="F48" s="259"/>
      <c r="G48" s="258"/>
      <c r="H48" s="258"/>
      <c r="I48" s="258"/>
      <c r="J48" s="258"/>
      <c r="K48" s="258"/>
      <c r="L48" s="258"/>
      <c r="M48" s="258"/>
      <c r="N48" s="258"/>
      <c r="O48" s="258"/>
      <c r="P48" s="384"/>
      <c r="Q48" s="384"/>
      <c r="R48" s="258"/>
      <c r="S48" s="258"/>
      <c r="T48" s="258"/>
      <c r="U48" s="258"/>
    </row>
    <row r="49" spans="1:21" ht="15.75" x14ac:dyDescent="0.25">
      <c r="A49" s="257"/>
      <c r="B49" s="258"/>
      <c r="C49" s="258"/>
      <c r="D49" s="258"/>
      <c r="E49" s="258"/>
      <c r="F49" s="259"/>
      <c r="G49" s="258"/>
      <c r="H49" s="258"/>
      <c r="I49" s="258"/>
      <c r="J49" s="258"/>
      <c r="K49" s="258"/>
      <c r="L49" s="258"/>
      <c r="M49" s="258"/>
      <c r="N49" s="258"/>
      <c r="O49" s="258"/>
      <c r="P49" s="384"/>
      <c r="Q49" s="384"/>
      <c r="R49" s="258"/>
      <c r="S49" s="258"/>
      <c r="T49" s="258"/>
      <c r="U49" s="258"/>
    </row>
    <row r="50" spans="1:21" ht="15.75" x14ac:dyDescent="0.25">
      <c r="A50" s="257"/>
      <c r="B50" s="258"/>
      <c r="C50" s="258"/>
      <c r="D50" s="258"/>
      <c r="E50" s="258"/>
      <c r="F50" s="259"/>
      <c r="G50" s="258"/>
      <c r="H50" s="258"/>
      <c r="I50" s="258"/>
      <c r="J50" s="258"/>
      <c r="K50" s="258"/>
      <c r="L50" s="258"/>
      <c r="M50" s="258"/>
      <c r="N50" s="258"/>
      <c r="O50" s="258"/>
      <c r="P50" s="384"/>
      <c r="Q50" s="384"/>
      <c r="R50" s="258"/>
      <c r="S50" s="258"/>
      <c r="T50" s="258"/>
      <c r="U50" s="258"/>
    </row>
    <row r="51" spans="1:21" ht="15.75" x14ac:dyDescent="0.25">
      <c r="A51" s="257"/>
      <c r="B51" s="258"/>
      <c r="C51" s="258"/>
      <c r="D51" s="258"/>
      <c r="E51" s="258"/>
      <c r="F51" s="259"/>
      <c r="G51" s="258"/>
      <c r="H51" s="258"/>
      <c r="I51" s="258"/>
      <c r="J51" s="258"/>
      <c r="K51" s="258"/>
      <c r="L51" s="258"/>
      <c r="M51" s="258"/>
      <c r="N51" s="258"/>
      <c r="O51" s="258"/>
      <c r="P51" s="384"/>
      <c r="Q51" s="384"/>
      <c r="R51" s="258"/>
      <c r="S51" s="258"/>
      <c r="T51" s="258"/>
      <c r="U51" s="258"/>
    </row>
    <row r="52" spans="1:21" ht="15.75" x14ac:dyDescent="0.25">
      <c r="A52" s="257"/>
      <c r="B52" s="258"/>
      <c r="C52" s="258"/>
      <c r="D52" s="258"/>
      <c r="E52" s="258"/>
      <c r="F52" s="259"/>
      <c r="G52" s="258"/>
      <c r="H52" s="258"/>
      <c r="I52" s="258"/>
      <c r="J52" s="258"/>
      <c r="K52" s="258"/>
      <c r="L52" s="258"/>
      <c r="M52" s="258"/>
      <c r="N52" s="258"/>
      <c r="O52" s="258"/>
      <c r="P52" s="384"/>
      <c r="Q52" s="384"/>
      <c r="R52" s="258"/>
      <c r="S52" s="258"/>
      <c r="T52" s="258"/>
      <c r="U52" s="258"/>
    </row>
    <row r="53" spans="1:21" ht="15.75" x14ac:dyDescent="0.25">
      <c r="A53" s="257"/>
      <c r="B53" s="258"/>
      <c r="C53" s="258"/>
      <c r="D53" s="258"/>
      <c r="E53" s="258"/>
      <c r="F53" s="259"/>
      <c r="G53" s="258"/>
      <c r="H53" s="258"/>
      <c r="I53" s="258"/>
      <c r="J53" s="258"/>
      <c r="K53" s="258"/>
      <c r="L53" s="258"/>
      <c r="M53" s="258"/>
      <c r="N53" s="258"/>
      <c r="O53" s="258"/>
      <c r="P53" s="384"/>
      <c r="Q53" s="384"/>
      <c r="R53" s="258"/>
      <c r="S53" s="258"/>
      <c r="T53" s="258"/>
      <c r="U53" s="258"/>
    </row>
    <row r="54" spans="1:21" ht="15" x14ac:dyDescent="0.25">
      <c r="C54" s="497"/>
    </row>
    <row r="66" spans="1:6" x14ac:dyDescent="0.25">
      <c r="A66" s="252"/>
      <c r="F66" s="252"/>
    </row>
    <row r="67" spans="1:6" x14ac:dyDescent="0.25">
      <c r="A67" s="252"/>
      <c r="F67" s="252"/>
    </row>
    <row r="68" spans="1:6" x14ac:dyDescent="0.25">
      <c r="A68" s="252"/>
      <c r="F68" s="252"/>
    </row>
    <row r="69" spans="1:6" x14ac:dyDescent="0.25">
      <c r="A69" s="252"/>
      <c r="F69" s="252"/>
    </row>
    <row r="70" spans="1:6" x14ac:dyDescent="0.25">
      <c r="A70" s="252"/>
      <c r="F70" s="252"/>
    </row>
    <row r="71" spans="1:6" x14ac:dyDescent="0.25">
      <c r="A71" s="252"/>
      <c r="F71" s="252"/>
    </row>
    <row r="72" spans="1:6" x14ac:dyDescent="0.25">
      <c r="A72" s="252"/>
      <c r="F72" s="252"/>
    </row>
    <row r="73" spans="1:6" x14ac:dyDescent="0.25">
      <c r="A73" s="252"/>
      <c r="F73" s="252"/>
    </row>
    <row r="74" spans="1:6" x14ac:dyDescent="0.25">
      <c r="A74" s="252"/>
      <c r="F74" s="252"/>
    </row>
    <row r="75" spans="1:6" x14ac:dyDescent="0.25">
      <c r="A75" s="252"/>
      <c r="F75" s="252"/>
    </row>
    <row r="76" spans="1:6" x14ac:dyDescent="0.25">
      <c r="A76" s="252"/>
      <c r="F76" s="252"/>
    </row>
    <row r="77" spans="1:6" x14ac:dyDescent="0.25">
      <c r="A77" s="252"/>
      <c r="F77" s="252"/>
    </row>
    <row r="78" spans="1:6" x14ac:dyDescent="0.25">
      <c r="A78" s="252"/>
      <c r="F78" s="252"/>
    </row>
    <row r="79" spans="1:6" x14ac:dyDescent="0.25">
      <c r="A79" s="252"/>
      <c r="F79" s="252"/>
    </row>
    <row r="80" spans="1:6" x14ac:dyDescent="0.25">
      <c r="A80" s="252"/>
      <c r="F80" s="252"/>
    </row>
    <row r="81" spans="1:6" x14ac:dyDescent="0.25">
      <c r="A81" s="252"/>
      <c r="F81" s="252"/>
    </row>
    <row r="82" spans="1:6" x14ac:dyDescent="0.25">
      <c r="A82" s="252"/>
      <c r="F82" s="252"/>
    </row>
    <row r="83" spans="1:6" x14ac:dyDescent="0.25">
      <c r="A83" s="252"/>
      <c r="F83" s="252"/>
    </row>
    <row r="84" spans="1:6" x14ac:dyDescent="0.25">
      <c r="A84" s="252"/>
      <c r="F84" s="252"/>
    </row>
    <row r="85" spans="1:6" x14ac:dyDescent="0.25">
      <c r="A85" s="252"/>
      <c r="F85" s="252"/>
    </row>
    <row r="86" spans="1:6" x14ac:dyDescent="0.25">
      <c r="A86" s="252"/>
      <c r="F86" s="252"/>
    </row>
    <row r="87" spans="1:6" x14ac:dyDescent="0.25">
      <c r="A87" s="252"/>
      <c r="F87" s="252"/>
    </row>
    <row r="88" spans="1:6" x14ac:dyDescent="0.25">
      <c r="A88" s="252"/>
      <c r="F88" s="252"/>
    </row>
    <row r="89" spans="1:6" x14ac:dyDescent="0.25">
      <c r="A89" s="252"/>
      <c r="F89" s="252"/>
    </row>
    <row r="90" spans="1:6" x14ac:dyDescent="0.25">
      <c r="A90" s="252"/>
      <c r="F90" s="252"/>
    </row>
    <row r="91" spans="1:6" x14ac:dyDescent="0.25">
      <c r="A91" s="252"/>
      <c r="F91" s="252"/>
    </row>
    <row r="92" spans="1:6" x14ac:dyDescent="0.25">
      <c r="A92" s="252"/>
      <c r="F92" s="252"/>
    </row>
    <row r="93" spans="1:6" x14ac:dyDescent="0.25">
      <c r="A93" s="252"/>
      <c r="F93" s="252"/>
    </row>
    <row r="94" spans="1:6" x14ac:dyDescent="0.25">
      <c r="A94" s="252"/>
      <c r="F94" s="252"/>
    </row>
    <row r="95" spans="1:6" x14ac:dyDescent="0.25">
      <c r="A95" s="252"/>
      <c r="F95" s="252"/>
    </row>
    <row r="96" spans="1:6" x14ac:dyDescent="0.25">
      <c r="A96" s="252"/>
      <c r="F96" s="252"/>
    </row>
    <row r="97" spans="1:6" x14ac:dyDescent="0.25">
      <c r="A97" s="252"/>
      <c r="F97" s="252"/>
    </row>
    <row r="98" spans="1:6" x14ac:dyDescent="0.25">
      <c r="A98" s="252"/>
      <c r="F98" s="252"/>
    </row>
    <row r="99" spans="1:6" x14ac:dyDescent="0.25">
      <c r="A99" s="252"/>
      <c r="F99" s="252"/>
    </row>
    <row r="100" spans="1:6" x14ac:dyDescent="0.25">
      <c r="A100" s="252"/>
      <c r="F100" s="252"/>
    </row>
    <row r="101" spans="1:6" x14ac:dyDescent="0.25">
      <c r="A101" s="252"/>
      <c r="F101" s="252"/>
    </row>
    <row r="102" spans="1:6" x14ac:dyDescent="0.25">
      <c r="A102" s="252"/>
      <c r="F102" s="252"/>
    </row>
    <row r="103" spans="1:6" x14ac:dyDescent="0.25">
      <c r="A103" s="252"/>
      <c r="F103" s="252"/>
    </row>
    <row r="104" spans="1:6" x14ac:dyDescent="0.25">
      <c r="A104" s="252"/>
      <c r="F104" s="252"/>
    </row>
    <row r="105" spans="1:6" x14ac:dyDescent="0.25">
      <c r="A105" s="252"/>
      <c r="F105" s="252"/>
    </row>
    <row r="106" spans="1:6" x14ac:dyDescent="0.25">
      <c r="A106" s="252"/>
      <c r="F106" s="252"/>
    </row>
    <row r="107" spans="1:6" x14ac:dyDescent="0.25">
      <c r="A107" s="252"/>
      <c r="F107" s="252"/>
    </row>
    <row r="108" spans="1:6" x14ac:dyDescent="0.25">
      <c r="A108" s="252"/>
      <c r="F108" s="252"/>
    </row>
    <row r="109" spans="1:6" x14ac:dyDescent="0.25">
      <c r="A109" s="252"/>
      <c r="F109" s="252"/>
    </row>
    <row r="110" spans="1:6" x14ac:dyDescent="0.25">
      <c r="A110" s="252"/>
      <c r="F110" s="252"/>
    </row>
    <row r="111" spans="1:6" x14ac:dyDescent="0.25">
      <c r="A111" s="252"/>
      <c r="F111" s="252"/>
    </row>
    <row r="112" spans="1:6" x14ac:dyDescent="0.25">
      <c r="A112" s="252"/>
      <c r="F112" s="252"/>
    </row>
    <row r="113" spans="1:6" x14ac:dyDescent="0.25">
      <c r="A113" s="252"/>
      <c r="F113" s="252"/>
    </row>
    <row r="114" spans="1:6" x14ac:dyDescent="0.25">
      <c r="A114" s="252"/>
      <c r="F114" s="252"/>
    </row>
    <row r="115" spans="1:6" x14ac:dyDescent="0.25">
      <c r="A115" s="252"/>
      <c r="F115" s="252"/>
    </row>
    <row r="116" spans="1:6" x14ac:dyDescent="0.25">
      <c r="A116" s="252"/>
      <c r="F116" s="252"/>
    </row>
    <row r="117" spans="1:6" x14ac:dyDescent="0.25">
      <c r="A117" s="252"/>
      <c r="F117" s="252"/>
    </row>
    <row r="118" spans="1:6" x14ac:dyDescent="0.25">
      <c r="A118" s="252"/>
      <c r="F118" s="252"/>
    </row>
    <row r="119" spans="1:6" x14ac:dyDescent="0.25">
      <c r="A119" s="252"/>
      <c r="F119" s="252"/>
    </row>
    <row r="120" spans="1:6" x14ac:dyDescent="0.25">
      <c r="A120" s="252"/>
      <c r="F120" s="252"/>
    </row>
    <row r="121" spans="1:6" x14ac:dyDescent="0.25">
      <c r="A121" s="252"/>
      <c r="F121" s="252"/>
    </row>
    <row r="122" spans="1:6" x14ac:dyDescent="0.25">
      <c r="A122" s="252"/>
      <c r="F122" s="252"/>
    </row>
    <row r="123" spans="1:6" x14ac:dyDescent="0.25">
      <c r="A123" s="252"/>
      <c r="F123" s="252"/>
    </row>
    <row r="124" spans="1:6" x14ac:dyDescent="0.25">
      <c r="A124" s="252"/>
      <c r="F124" s="252"/>
    </row>
    <row r="125" spans="1:6" x14ac:dyDescent="0.25">
      <c r="A125" s="252"/>
      <c r="F125" s="252"/>
    </row>
    <row r="126" spans="1:6" x14ac:dyDescent="0.25">
      <c r="A126" s="252"/>
      <c r="F126" s="252"/>
    </row>
    <row r="127" spans="1:6" x14ac:dyDescent="0.25">
      <c r="A127" s="252"/>
      <c r="F127" s="252"/>
    </row>
    <row r="128" spans="1:6" x14ac:dyDescent="0.25">
      <c r="A128" s="252"/>
      <c r="F128" s="252"/>
    </row>
    <row r="129" spans="1:6" x14ac:dyDescent="0.25">
      <c r="A129" s="252"/>
      <c r="F129" s="252"/>
    </row>
    <row r="130" spans="1:6" x14ac:dyDescent="0.25">
      <c r="A130" s="252"/>
      <c r="F130" s="252"/>
    </row>
    <row r="131" spans="1:6" x14ac:dyDescent="0.25">
      <c r="A131" s="252"/>
      <c r="F131" s="252"/>
    </row>
    <row r="132" spans="1:6" x14ac:dyDescent="0.25">
      <c r="A132" s="252"/>
      <c r="F132" s="252"/>
    </row>
    <row r="133" spans="1:6" x14ac:dyDescent="0.25">
      <c r="A133" s="252"/>
      <c r="F133" s="252"/>
    </row>
    <row r="134" spans="1:6" x14ac:dyDescent="0.25">
      <c r="A134" s="252"/>
      <c r="F134" s="252"/>
    </row>
  </sheetData>
  <mergeCells count="23">
    <mergeCell ref="A8:A46"/>
    <mergeCell ref="B14:B19"/>
    <mergeCell ref="C4:C6"/>
    <mergeCell ref="B8:B13"/>
    <mergeCell ref="B20:B27"/>
    <mergeCell ref="B28:B38"/>
    <mergeCell ref="B39:B46"/>
    <mergeCell ref="F4:F6"/>
    <mergeCell ref="A4:A6"/>
    <mergeCell ref="E4:E6"/>
    <mergeCell ref="G4:G6"/>
    <mergeCell ref="B4:B6"/>
    <mergeCell ref="D4:D6"/>
    <mergeCell ref="J5:K5"/>
    <mergeCell ref="L5:M5"/>
    <mergeCell ref="N5:O5"/>
    <mergeCell ref="U4:U6"/>
    <mergeCell ref="H4:O4"/>
    <mergeCell ref="S4:S6"/>
    <mergeCell ref="T4:T6"/>
    <mergeCell ref="P4:Q5"/>
    <mergeCell ref="R4:R6"/>
    <mergeCell ref="H5:I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46">
      <formula1>$L$1:$AB$1</formula1>
    </dataValidation>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0"/>
  <sheetViews>
    <sheetView showGridLines="0" workbookViewId="0">
      <pane ySplit="7" topLeftCell="A8" activePane="bottomLeft" state="frozen"/>
      <selection activeCell="A7" sqref="A7"/>
      <selection pane="bottomLeft" activeCell="C23" sqref="C23"/>
    </sheetView>
  </sheetViews>
  <sheetFormatPr baseColWidth="10" defaultColWidth="11.42578125" defaultRowHeight="12.75" x14ac:dyDescent="0.25"/>
  <cols>
    <col min="1" max="1" width="25.5703125" style="262" customWidth="1"/>
    <col min="2" max="2" width="38.5703125" style="262" customWidth="1"/>
    <col min="3" max="5" width="27.42578125" style="262" customWidth="1"/>
    <col min="6" max="6" width="27.42578125" style="261" customWidth="1"/>
    <col min="7" max="7" width="27.42578125" style="262" customWidth="1"/>
    <col min="8" max="8" width="15.28515625" style="262" customWidth="1"/>
    <col min="9" max="9" width="16" style="262" customWidth="1"/>
    <col min="10" max="10" width="15.28515625" style="262" customWidth="1"/>
    <col min="11" max="11" width="18.5703125" style="262" customWidth="1"/>
    <col min="12" max="12" width="15.28515625" style="262" customWidth="1"/>
    <col min="13" max="13" width="15.85546875" style="262" customWidth="1"/>
    <col min="14" max="14" width="15.28515625" style="262" customWidth="1"/>
    <col min="15" max="15" width="15" style="262" customWidth="1"/>
    <col min="16" max="16" width="15.28515625" style="262" customWidth="1"/>
    <col min="17" max="17" width="17" style="262" bestFit="1" customWidth="1"/>
    <col min="18" max="18" width="14.28515625" style="262" customWidth="1"/>
    <col min="19" max="20" width="14.28515625" style="260" customWidth="1"/>
    <col min="21" max="21" width="17" style="262" customWidth="1"/>
    <col min="22" max="16384" width="11.42578125" style="262"/>
  </cols>
  <sheetData>
    <row r="1" spans="1:36" ht="18.75" customHeight="1" x14ac:dyDescent="0.25">
      <c r="F1" s="289"/>
      <c r="H1" s="284" t="s">
        <v>90</v>
      </c>
      <c r="J1" s="284"/>
      <c r="K1" s="284"/>
      <c r="L1" s="284"/>
      <c r="M1" s="499" t="s">
        <v>1556</v>
      </c>
      <c r="N1" s="499" t="s">
        <v>1555</v>
      </c>
      <c r="O1" s="499" t="s">
        <v>1554</v>
      </c>
      <c r="P1" s="499" t="s">
        <v>1553</v>
      </c>
      <c r="Q1" s="499" t="s">
        <v>1552</v>
      </c>
      <c r="R1" s="499" t="s">
        <v>1551</v>
      </c>
      <c r="S1" s="499" t="s">
        <v>1550</v>
      </c>
      <c r="T1" s="499" t="s">
        <v>1549</v>
      </c>
      <c r="U1" s="499" t="s">
        <v>1548</v>
      </c>
      <c r="V1" s="499" t="s">
        <v>1533</v>
      </c>
      <c r="W1" s="499" t="s">
        <v>1534</v>
      </c>
      <c r="X1" s="499" t="s">
        <v>1535</v>
      </c>
      <c r="Y1" s="499" t="s">
        <v>1536</v>
      </c>
      <c r="Z1" s="499" t="s">
        <v>1537</v>
      </c>
      <c r="AA1" s="499" t="s">
        <v>1538</v>
      </c>
      <c r="AB1" s="499" t="s">
        <v>1539</v>
      </c>
      <c r="AC1" s="499" t="s">
        <v>1540</v>
      </c>
      <c r="AD1" s="499" t="s">
        <v>1541</v>
      </c>
      <c r="AE1" s="499" t="s">
        <v>1542</v>
      </c>
      <c r="AF1" s="499" t="s">
        <v>1543</v>
      </c>
      <c r="AG1" s="499" t="s">
        <v>1544</v>
      </c>
      <c r="AH1" s="499" t="s">
        <v>1545</v>
      </c>
      <c r="AI1" s="499" t="s">
        <v>1546</v>
      </c>
      <c r="AJ1" s="499" t="s">
        <v>1547</v>
      </c>
    </row>
    <row r="2" spans="1:36" ht="18.75" x14ac:dyDescent="0.25">
      <c r="A2" s="268" t="s">
        <v>1346</v>
      </c>
      <c r="F2" s="289"/>
      <c r="H2" s="284"/>
      <c r="J2" s="284"/>
      <c r="K2" s="284"/>
      <c r="L2" s="284"/>
      <c r="M2" s="284"/>
      <c r="N2" s="284"/>
      <c r="O2" s="284"/>
      <c r="P2" s="284"/>
      <c r="Q2" s="284"/>
      <c r="R2" s="284"/>
      <c r="S2" s="284"/>
      <c r="T2" s="284"/>
      <c r="U2" s="284"/>
      <c r="V2" s="284"/>
      <c r="W2" s="284"/>
      <c r="X2" s="284"/>
      <c r="Y2" s="284"/>
      <c r="Z2" s="284"/>
      <c r="AA2" s="284"/>
    </row>
    <row r="3" spans="1:36" ht="18.75" x14ac:dyDescent="0.25">
      <c r="A3" s="316" t="s">
        <v>1464</v>
      </c>
      <c r="F3" s="289"/>
      <c r="H3" s="284"/>
      <c r="J3" s="284"/>
      <c r="K3" s="284"/>
      <c r="L3" s="284"/>
      <c r="M3" s="284"/>
      <c r="N3" s="284"/>
      <c r="O3" s="284"/>
      <c r="P3" s="284"/>
      <c r="Q3" s="284"/>
      <c r="R3" s="284"/>
      <c r="S3" s="284"/>
      <c r="T3" s="284"/>
      <c r="U3" s="284"/>
      <c r="V3" s="284"/>
      <c r="W3" s="284"/>
      <c r="X3" s="284"/>
      <c r="Y3" s="284"/>
      <c r="Z3" s="284"/>
      <c r="AA3" s="284"/>
    </row>
    <row r="4" spans="1:36" ht="15" x14ac:dyDescent="0.25">
      <c r="A4" s="371" t="s">
        <v>1465</v>
      </c>
      <c r="B4" s="268"/>
      <c r="C4" s="268"/>
      <c r="D4" s="268"/>
      <c r="E4" s="268"/>
      <c r="F4" s="247"/>
      <c r="G4" s="268"/>
      <c r="H4" s="268"/>
      <c r="I4" s="268"/>
      <c r="J4" s="268"/>
      <c r="K4" s="268"/>
      <c r="L4" s="268"/>
      <c r="M4" s="268"/>
      <c r="N4" s="268"/>
      <c r="O4" s="268"/>
      <c r="P4" s="268"/>
      <c r="Q4" s="268"/>
      <c r="R4" s="268"/>
      <c r="S4" s="268"/>
      <c r="T4" s="268"/>
      <c r="U4" s="268"/>
    </row>
    <row r="5" spans="1:36" s="66" customFormat="1" ht="23.25" customHeight="1" x14ac:dyDescent="0.25">
      <c r="A5" s="666" t="s">
        <v>96</v>
      </c>
      <c r="B5" s="665" t="s">
        <v>110</v>
      </c>
      <c r="C5" s="668" t="s">
        <v>1514</v>
      </c>
      <c r="D5" s="668" t="s">
        <v>1515</v>
      </c>
      <c r="E5" s="668" t="s">
        <v>86</v>
      </c>
      <c r="F5" s="668" t="s">
        <v>390</v>
      </c>
      <c r="G5" s="668" t="s">
        <v>87</v>
      </c>
      <c r="H5" s="671" t="s">
        <v>99</v>
      </c>
      <c r="I5" s="677"/>
      <c r="J5" s="677"/>
      <c r="K5" s="677"/>
      <c r="L5" s="677"/>
      <c r="M5" s="677"/>
      <c r="N5" s="677"/>
      <c r="O5" s="672"/>
      <c r="P5" s="673" t="s">
        <v>100</v>
      </c>
      <c r="Q5" s="674"/>
      <c r="R5" s="665" t="s">
        <v>102</v>
      </c>
      <c r="S5" s="665" t="s">
        <v>109</v>
      </c>
      <c r="T5" s="665" t="s">
        <v>108</v>
      </c>
      <c r="U5" s="662" t="s">
        <v>88</v>
      </c>
    </row>
    <row r="6" spans="1:36" s="66" customFormat="1" ht="15" customHeight="1" x14ac:dyDescent="0.25">
      <c r="A6" s="666"/>
      <c r="B6" s="666"/>
      <c r="C6" s="669"/>
      <c r="D6" s="669"/>
      <c r="E6" s="669"/>
      <c r="F6" s="669"/>
      <c r="G6" s="669"/>
      <c r="H6" s="671" t="s">
        <v>103</v>
      </c>
      <c r="I6" s="672"/>
      <c r="J6" s="671" t="s">
        <v>104</v>
      </c>
      <c r="K6" s="672"/>
      <c r="L6" s="671" t="s">
        <v>105</v>
      </c>
      <c r="M6" s="672"/>
      <c r="N6" s="671" t="s">
        <v>106</v>
      </c>
      <c r="O6" s="672"/>
      <c r="P6" s="675"/>
      <c r="Q6" s="676"/>
      <c r="R6" s="666"/>
      <c r="S6" s="666"/>
      <c r="T6" s="666"/>
      <c r="U6" s="663"/>
    </row>
    <row r="7" spans="1:36" s="66" customFormat="1" ht="24" customHeight="1" x14ac:dyDescent="0.25">
      <c r="A7" s="667"/>
      <c r="B7" s="667"/>
      <c r="C7" s="670"/>
      <c r="D7" s="670"/>
      <c r="E7" s="670"/>
      <c r="F7" s="670"/>
      <c r="G7" s="670"/>
      <c r="H7" s="438" t="s">
        <v>107</v>
      </c>
      <c r="I7" s="438" t="s">
        <v>12</v>
      </c>
      <c r="J7" s="438" t="s">
        <v>107</v>
      </c>
      <c r="K7" s="438" t="s">
        <v>12</v>
      </c>
      <c r="L7" s="438" t="s">
        <v>107</v>
      </c>
      <c r="M7" s="438" t="s">
        <v>12</v>
      </c>
      <c r="N7" s="438" t="s">
        <v>107</v>
      </c>
      <c r="O7" s="438" t="s">
        <v>12</v>
      </c>
      <c r="P7" s="438" t="s">
        <v>107</v>
      </c>
      <c r="Q7" s="438" t="s">
        <v>12</v>
      </c>
      <c r="R7" s="667"/>
      <c r="S7" s="667"/>
      <c r="T7" s="667"/>
      <c r="U7" s="664"/>
    </row>
    <row r="8" spans="1:36" ht="15.75" customHeight="1" x14ac:dyDescent="0.25">
      <c r="A8" s="439"/>
      <c r="B8" s="440"/>
      <c r="C8" s="441"/>
      <c r="D8" s="441"/>
      <c r="E8" s="441"/>
      <c r="F8" s="442"/>
      <c r="G8" s="441"/>
      <c r="H8" s="443"/>
      <c r="I8" s="443"/>
      <c r="J8" s="443"/>
      <c r="K8" s="443"/>
      <c r="L8" s="443"/>
      <c r="M8" s="443"/>
      <c r="N8" s="443"/>
      <c r="O8" s="443"/>
      <c r="P8" s="443"/>
      <c r="Q8" s="443"/>
      <c r="R8" s="444"/>
      <c r="S8" s="444"/>
      <c r="T8" s="444"/>
      <c r="U8" s="445"/>
    </row>
    <row r="9" spans="1:36" ht="15.75" x14ac:dyDescent="0.25">
      <c r="A9" s="691" t="s">
        <v>1450</v>
      </c>
      <c r="B9" s="690" t="s">
        <v>1448</v>
      </c>
      <c r="C9" s="306"/>
      <c r="D9" s="306"/>
      <c r="E9" s="249"/>
      <c r="F9" s="306"/>
      <c r="G9" s="306"/>
      <c r="H9" s="250"/>
      <c r="I9" s="348"/>
      <c r="J9" s="350"/>
      <c r="K9" s="348"/>
      <c r="L9" s="350"/>
      <c r="M9" s="348"/>
      <c r="N9" s="350"/>
      <c r="O9" s="348"/>
      <c r="P9" s="386">
        <f t="shared" ref="P9:P40" si="0">H9+J9+L9+N9</f>
        <v>0</v>
      </c>
      <c r="Q9" s="387">
        <f t="shared" ref="Q9:Q40" si="1">I9+K9+M9+O9</f>
        <v>0</v>
      </c>
      <c r="R9" s="348"/>
      <c r="S9" s="249"/>
      <c r="T9" s="249"/>
      <c r="U9" s="249"/>
    </row>
    <row r="10" spans="1:36" ht="15.75" x14ac:dyDescent="0.25">
      <c r="A10" s="692"/>
      <c r="B10" s="690"/>
      <c r="C10" s="306"/>
      <c r="D10" s="306"/>
      <c r="E10" s="249"/>
      <c r="F10" s="306"/>
      <c r="G10" s="306"/>
      <c r="H10" s="250"/>
      <c r="I10" s="348"/>
      <c r="J10" s="350"/>
      <c r="K10" s="348"/>
      <c r="L10" s="350"/>
      <c r="M10" s="348"/>
      <c r="N10" s="350"/>
      <c r="O10" s="348"/>
      <c r="P10" s="386">
        <f t="shared" si="0"/>
        <v>0</v>
      </c>
      <c r="Q10" s="387">
        <f t="shared" si="1"/>
        <v>0</v>
      </c>
      <c r="R10" s="348"/>
      <c r="S10" s="249"/>
      <c r="T10" s="249"/>
      <c r="U10" s="249"/>
    </row>
    <row r="11" spans="1:36" ht="15.75" x14ac:dyDescent="0.25">
      <c r="A11" s="692"/>
      <c r="B11" s="690"/>
      <c r="C11" s="306"/>
      <c r="D11" s="306"/>
      <c r="E11" s="249"/>
      <c r="F11" s="306"/>
      <c r="G11" s="306"/>
      <c r="H11" s="250"/>
      <c r="I11" s="348"/>
      <c r="J11" s="350"/>
      <c r="K11" s="348"/>
      <c r="L11" s="350"/>
      <c r="M11" s="348"/>
      <c r="N11" s="350"/>
      <c r="O11" s="348"/>
      <c r="P11" s="386">
        <f t="shared" si="0"/>
        <v>0</v>
      </c>
      <c r="Q11" s="387">
        <f t="shared" si="1"/>
        <v>0</v>
      </c>
      <c r="R11" s="348"/>
      <c r="S11" s="249"/>
      <c r="T11" s="249"/>
      <c r="U11" s="249"/>
    </row>
    <row r="12" spans="1:36" ht="15.75" x14ac:dyDescent="0.25">
      <c r="A12" s="692"/>
      <c r="B12" s="690"/>
      <c r="C12" s="306"/>
      <c r="D12" s="306"/>
      <c r="E12" s="249"/>
      <c r="F12" s="306"/>
      <c r="G12" s="306"/>
      <c r="H12" s="250"/>
      <c r="I12" s="348"/>
      <c r="J12" s="350"/>
      <c r="K12" s="348"/>
      <c r="L12" s="350"/>
      <c r="M12" s="348"/>
      <c r="N12" s="350"/>
      <c r="O12" s="348"/>
      <c r="P12" s="386">
        <f t="shared" si="0"/>
        <v>0</v>
      </c>
      <c r="Q12" s="387">
        <f t="shared" si="1"/>
        <v>0</v>
      </c>
      <c r="R12" s="348"/>
      <c r="S12" s="249"/>
      <c r="T12" s="249"/>
      <c r="U12" s="249"/>
    </row>
    <row r="13" spans="1:36" ht="15.75" x14ac:dyDescent="0.25">
      <c r="A13" s="692"/>
      <c r="B13" s="690"/>
      <c r="C13" s="306"/>
      <c r="D13" s="306"/>
      <c r="E13" s="249"/>
      <c r="F13" s="306"/>
      <c r="G13" s="306"/>
      <c r="H13" s="250"/>
      <c r="I13" s="348"/>
      <c r="J13" s="350"/>
      <c r="K13" s="348"/>
      <c r="L13" s="350"/>
      <c r="M13" s="348"/>
      <c r="N13" s="350"/>
      <c r="O13" s="348"/>
      <c r="P13" s="386">
        <f t="shared" si="0"/>
        <v>0</v>
      </c>
      <c r="Q13" s="387">
        <f t="shared" si="1"/>
        <v>0</v>
      </c>
      <c r="R13" s="348"/>
      <c r="S13" s="249"/>
      <c r="T13" s="249"/>
      <c r="U13" s="249"/>
    </row>
    <row r="14" spans="1:36" ht="15.75" x14ac:dyDescent="0.25">
      <c r="A14" s="692"/>
      <c r="B14" s="690"/>
      <c r="C14" s="306"/>
      <c r="D14" s="306"/>
      <c r="E14" s="249"/>
      <c r="F14" s="306"/>
      <c r="G14" s="306"/>
      <c r="H14" s="250"/>
      <c r="I14" s="348"/>
      <c r="J14" s="350"/>
      <c r="K14" s="348"/>
      <c r="L14" s="350"/>
      <c r="M14" s="348"/>
      <c r="N14" s="350"/>
      <c r="O14" s="348"/>
      <c r="P14" s="386">
        <f t="shared" si="0"/>
        <v>0</v>
      </c>
      <c r="Q14" s="387">
        <f t="shared" si="1"/>
        <v>0</v>
      </c>
      <c r="R14" s="348"/>
      <c r="S14" s="249"/>
      <c r="T14" s="249"/>
      <c r="U14" s="249"/>
    </row>
    <row r="15" spans="1:36" ht="15.75" x14ac:dyDescent="0.25">
      <c r="A15" s="692"/>
      <c r="B15" s="690"/>
      <c r="C15" s="306"/>
      <c r="D15" s="306"/>
      <c r="E15" s="249"/>
      <c r="F15" s="306"/>
      <c r="G15" s="306"/>
      <c r="H15" s="250"/>
      <c r="I15" s="348"/>
      <c r="J15" s="350"/>
      <c r="K15" s="348"/>
      <c r="L15" s="350"/>
      <c r="M15" s="348"/>
      <c r="N15" s="350"/>
      <c r="O15" s="348"/>
      <c r="P15" s="386">
        <f t="shared" si="0"/>
        <v>0</v>
      </c>
      <c r="Q15" s="387">
        <f t="shared" si="1"/>
        <v>0</v>
      </c>
      <c r="R15" s="348"/>
      <c r="S15" s="249"/>
      <c r="T15" s="249"/>
      <c r="U15" s="249"/>
    </row>
    <row r="16" spans="1:36" ht="15.75" x14ac:dyDescent="0.25">
      <c r="A16" s="693"/>
      <c r="B16" s="690"/>
      <c r="C16" s="306"/>
      <c r="D16" s="306"/>
      <c r="E16" s="249"/>
      <c r="F16" s="306"/>
      <c r="G16" s="306"/>
      <c r="H16" s="250"/>
      <c r="I16" s="348"/>
      <c r="J16" s="350"/>
      <c r="K16" s="348"/>
      <c r="L16" s="350"/>
      <c r="M16" s="348"/>
      <c r="N16" s="350"/>
      <c r="O16" s="348"/>
      <c r="P16" s="386">
        <f t="shared" si="0"/>
        <v>0</v>
      </c>
      <c r="Q16" s="387">
        <f t="shared" si="1"/>
        <v>0</v>
      </c>
      <c r="R16" s="348"/>
      <c r="S16" s="249"/>
      <c r="T16" s="249"/>
      <c r="U16" s="249"/>
    </row>
    <row r="17" spans="1:21" ht="15.75" customHeight="1" x14ac:dyDescent="0.25">
      <c r="A17" s="687" t="s">
        <v>1449</v>
      </c>
      <c r="B17" s="687" t="s">
        <v>1451</v>
      </c>
      <c r="C17" s="306"/>
      <c r="D17" s="306"/>
      <c r="E17" s="249"/>
      <c r="F17" s="306"/>
      <c r="G17" s="306"/>
      <c r="H17" s="249"/>
      <c r="I17" s="348"/>
      <c r="J17" s="348"/>
      <c r="K17" s="348"/>
      <c r="L17" s="348"/>
      <c r="M17" s="348"/>
      <c r="N17" s="348"/>
      <c r="O17" s="348"/>
      <c r="P17" s="386">
        <f t="shared" si="0"/>
        <v>0</v>
      </c>
      <c r="Q17" s="387">
        <f t="shared" si="1"/>
        <v>0</v>
      </c>
      <c r="R17" s="348"/>
      <c r="S17" s="249"/>
      <c r="T17" s="249"/>
      <c r="U17" s="249"/>
    </row>
    <row r="18" spans="1:21" ht="15.75" x14ac:dyDescent="0.25">
      <c r="A18" s="688"/>
      <c r="B18" s="688"/>
      <c r="C18" s="306"/>
      <c r="D18" s="306"/>
      <c r="E18" s="249"/>
      <c r="F18" s="306"/>
      <c r="G18" s="306"/>
      <c r="H18" s="249"/>
      <c r="I18" s="348"/>
      <c r="J18" s="348"/>
      <c r="K18" s="348"/>
      <c r="L18" s="348"/>
      <c r="M18" s="348"/>
      <c r="N18" s="348"/>
      <c r="O18" s="348"/>
      <c r="P18" s="386">
        <f t="shared" si="0"/>
        <v>0</v>
      </c>
      <c r="Q18" s="387">
        <f t="shared" si="1"/>
        <v>0</v>
      </c>
      <c r="R18" s="348"/>
      <c r="S18" s="249"/>
      <c r="T18" s="249"/>
      <c r="U18" s="249"/>
    </row>
    <row r="19" spans="1:21" ht="15.75" x14ac:dyDescent="0.25">
      <c r="A19" s="688"/>
      <c r="B19" s="688"/>
      <c r="C19" s="306"/>
      <c r="D19" s="306"/>
      <c r="E19" s="249"/>
      <c r="F19" s="306"/>
      <c r="G19" s="306"/>
      <c r="H19" s="249"/>
      <c r="I19" s="348"/>
      <c r="J19" s="348"/>
      <c r="K19" s="348"/>
      <c r="L19" s="348"/>
      <c r="M19" s="348"/>
      <c r="N19" s="348"/>
      <c r="O19" s="348"/>
      <c r="P19" s="386">
        <f t="shared" si="0"/>
        <v>0</v>
      </c>
      <c r="Q19" s="387">
        <f t="shared" si="1"/>
        <v>0</v>
      </c>
      <c r="R19" s="348"/>
      <c r="S19" s="249"/>
      <c r="T19" s="249"/>
      <c r="U19" s="249"/>
    </row>
    <row r="20" spans="1:21" ht="15.75" x14ac:dyDescent="0.25">
      <c r="A20" s="688"/>
      <c r="B20" s="688"/>
      <c r="C20" s="306"/>
      <c r="D20" s="306"/>
      <c r="E20" s="249"/>
      <c r="F20" s="306"/>
      <c r="G20" s="306"/>
      <c r="H20" s="249"/>
      <c r="I20" s="348"/>
      <c r="J20" s="348"/>
      <c r="K20" s="348"/>
      <c r="L20" s="348"/>
      <c r="M20" s="348"/>
      <c r="N20" s="348"/>
      <c r="O20" s="348"/>
      <c r="P20" s="386">
        <f t="shared" si="0"/>
        <v>0</v>
      </c>
      <c r="Q20" s="387">
        <f t="shared" si="1"/>
        <v>0</v>
      </c>
      <c r="R20" s="348"/>
      <c r="S20" s="249"/>
      <c r="T20" s="249"/>
      <c r="U20" s="249"/>
    </row>
    <row r="21" spans="1:21" ht="15.75" x14ac:dyDescent="0.25">
      <c r="A21" s="688"/>
      <c r="B21" s="688"/>
      <c r="C21" s="306"/>
      <c r="D21" s="306"/>
      <c r="E21" s="249"/>
      <c r="F21" s="306"/>
      <c r="G21" s="306"/>
      <c r="H21" s="249"/>
      <c r="I21" s="348"/>
      <c r="J21" s="348"/>
      <c r="K21" s="348"/>
      <c r="L21" s="348"/>
      <c r="M21" s="348"/>
      <c r="N21" s="348"/>
      <c r="O21" s="348"/>
      <c r="P21" s="386">
        <f t="shared" si="0"/>
        <v>0</v>
      </c>
      <c r="Q21" s="387">
        <f t="shared" si="1"/>
        <v>0</v>
      </c>
      <c r="R21" s="348"/>
      <c r="S21" s="249"/>
      <c r="T21" s="249"/>
      <c r="U21" s="249"/>
    </row>
    <row r="22" spans="1:21" ht="15.75" x14ac:dyDescent="0.25">
      <c r="A22" s="688"/>
      <c r="B22" s="689"/>
      <c r="C22" s="306"/>
      <c r="D22" s="306"/>
      <c r="E22" s="249"/>
      <c r="F22" s="306"/>
      <c r="G22" s="306"/>
      <c r="H22" s="249"/>
      <c r="I22" s="348"/>
      <c r="J22" s="348"/>
      <c r="K22" s="348"/>
      <c r="L22" s="348"/>
      <c r="M22" s="348"/>
      <c r="N22" s="348"/>
      <c r="O22" s="348"/>
      <c r="P22" s="386">
        <f t="shared" si="0"/>
        <v>0</v>
      </c>
      <c r="Q22" s="387">
        <f t="shared" si="1"/>
        <v>0</v>
      </c>
      <c r="R22" s="348"/>
      <c r="S22" s="249"/>
      <c r="T22" s="249"/>
      <c r="U22" s="249"/>
    </row>
    <row r="23" spans="1:21" ht="15.75" customHeight="1" x14ac:dyDescent="0.25">
      <c r="A23" s="688"/>
      <c r="B23" s="687" t="s">
        <v>1452</v>
      </c>
      <c r="C23" s="306"/>
      <c r="D23" s="306"/>
      <c r="E23" s="249"/>
      <c r="F23" s="306"/>
      <c r="G23" s="306"/>
      <c r="H23" s="250"/>
      <c r="I23" s="349"/>
      <c r="J23" s="350"/>
      <c r="K23" s="349"/>
      <c r="L23" s="350"/>
      <c r="M23" s="349"/>
      <c r="N23" s="350"/>
      <c r="O23" s="349"/>
      <c r="P23" s="386">
        <f t="shared" si="0"/>
        <v>0</v>
      </c>
      <c r="Q23" s="388">
        <f t="shared" si="1"/>
        <v>0</v>
      </c>
      <c r="R23" s="347"/>
      <c r="S23" s="249"/>
      <c r="T23" s="249"/>
      <c r="U23" s="249"/>
    </row>
    <row r="24" spans="1:21" ht="15.75" x14ac:dyDescent="0.25">
      <c r="A24" s="688"/>
      <c r="B24" s="688"/>
      <c r="C24" s="306"/>
      <c r="D24" s="306"/>
      <c r="E24" s="249"/>
      <c r="F24" s="306"/>
      <c r="G24" s="306"/>
      <c r="H24" s="250"/>
      <c r="I24" s="349"/>
      <c r="J24" s="350"/>
      <c r="K24" s="349"/>
      <c r="L24" s="350"/>
      <c r="M24" s="349"/>
      <c r="N24" s="350"/>
      <c r="O24" s="349"/>
      <c r="P24" s="386">
        <f t="shared" si="0"/>
        <v>0</v>
      </c>
      <c r="Q24" s="388">
        <f t="shared" si="1"/>
        <v>0</v>
      </c>
      <c r="R24" s="347"/>
      <c r="S24" s="249"/>
      <c r="T24" s="249"/>
      <c r="U24" s="249"/>
    </row>
    <row r="25" spans="1:21" ht="15.75" x14ac:dyDescent="0.25">
      <c r="A25" s="688"/>
      <c r="B25" s="688"/>
      <c r="C25" s="306"/>
      <c r="D25" s="306"/>
      <c r="E25" s="249"/>
      <c r="F25" s="306"/>
      <c r="G25" s="306"/>
      <c r="H25" s="250"/>
      <c r="I25" s="349"/>
      <c r="J25" s="350"/>
      <c r="K25" s="349"/>
      <c r="L25" s="350"/>
      <c r="M25" s="349"/>
      <c r="N25" s="350"/>
      <c r="O25" s="349"/>
      <c r="P25" s="386">
        <f t="shared" si="0"/>
        <v>0</v>
      </c>
      <c r="Q25" s="388">
        <f t="shared" si="1"/>
        <v>0</v>
      </c>
      <c r="R25" s="347"/>
      <c r="S25" s="249"/>
      <c r="T25" s="249"/>
      <c r="U25" s="249"/>
    </row>
    <row r="26" spans="1:21" ht="15.75" x14ac:dyDescent="0.25">
      <c r="A26" s="688"/>
      <c r="B26" s="688"/>
      <c r="C26" s="306"/>
      <c r="D26" s="306"/>
      <c r="E26" s="249"/>
      <c r="F26" s="306"/>
      <c r="G26" s="306"/>
      <c r="H26" s="249"/>
      <c r="I26" s="349"/>
      <c r="J26" s="348"/>
      <c r="K26" s="348"/>
      <c r="L26" s="348"/>
      <c r="M26" s="348"/>
      <c r="N26" s="348"/>
      <c r="O26" s="348"/>
      <c r="P26" s="386">
        <f t="shared" si="0"/>
        <v>0</v>
      </c>
      <c r="Q26" s="387">
        <f t="shared" si="1"/>
        <v>0</v>
      </c>
      <c r="R26" s="249"/>
      <c r="S26" s="249"/>
      <c r="T26" s="249"/>
      <c r="U26" s="249"/>
    </row>
    <row r="27" spans="1:21" ht="15.75" x14ac:dyDescent="0.25">
      <c r="A27" s="688"/>
      <c r="B27" s="688"/>
      <c r="C27" s="306"/>
      <c r="D27" s="306"/>
      <c r="E27" s="249"/>
      <c r="F27" s="306"/>
      <c r="G27" s="306"/>
      <c r="H27" s="249"/>
      <c r="I27" s="349"/>
      <c r="J27" s="348"/>
      <c r="K27" s="348"/>
      <c r="L27" s="348"/>
      <c r="M27" s="348"/>
      <c r="N27" s="348"/>
      <c r="O27" s="348"/>
      <c r="P27" s="386">
        <f t="shared" si="0"/>
        <v>0</v>
      </c>
      <c r="Q27" s="387">
        <f t="shared" si="1"/>
        <v>0</v>
      </c>
      <c r="R27" s="249"/>
      <c r="S27" s="249"/>
      <c r="T27" s="249"/>
      <c r="U27" s="249"/>
    </row>
    <row r="28" spans="1:21" ht="15.75" x14ac:dyDescent="0.25">
      <c r="A28" s="688"/>
      <c r="B28" s="688"/>
      <c r="C28" s="306"/>
      <c r="D28" s="306"/>
      <c r="E28" s="249"/>
      <c r="F28" s="306"/>
      <c r="G28" s="306"/>
      <c r="H28" s="249"/>
      <c r="I28" s="349"/>
      <c r="J28" s="348"/>
      <c r="K28" s="348"/>
      <c r="L28" s="348"/>
      <c r="M28" s="348"/>
      <c r="N28" s="348"/>
      <c r="O28" s="348"/>
      <c r="P28" s="386">
        <f t="shared" si="0"/>
        <v>0</v>
      </c>
      <c r="Q28" s="387">
        <f t="shared" si="1"/>
        <v>0</v>
      </c>
      <c r="R28" s="249"/>
      <c r="S28" s="249"/>
      <c r="T28" s="249"/>
      <c r="U28" s="249"/>
    </row>
    <row r="29" spans="1:21" ht="15.75" x14ac:dyDescent="0.25">
      <c r="A29" s="688"/>
      <c r="B29" s="690" t="s">
        <v>1453</v>
      </c>
      <c r="C29" s="306"/>
      <c r="D29" s="306"/>
      <c r="E29" s="249"/>
      <c r="F29" s="306"/>
      <c r="G29" s="306"/>
      <c r="H29" s="249"/>
      <c r="I29" s="349"/>
      <c r="J29" s="348"/>
      <c r="K29" s="348"/>
      <c r="L29" s="348"/>
      <c r="M29" s="348"/>
      <c r="N29" s="348"/>
      <c r="O29" s="348"/>
      <c r="P29" s="386">
        <f t="shared" si="0"/>
        <v>0</v>
      </c>
      <c r="Q29" s="387">
        <f t="shared" si="1"/>
        <v>0</v>
      </c>
      <c r="R29" s="249"/>
      <c r="S29" s="249"/>
      <c r="T29" s="249"/>
      <c r="U29" s="249"/>
    </row>
    <row r="30" spans="1:21" ht="15.75" x14ac:dyDescent="0.25">
      <c r="A30" s="688"/>
      <c r="B30" s="690"/>
      <c r="C30" s="306"/>
      <c r="D30" s="306"/>
      <c r="E30" s="249"/>
      <c r="F30" s="306"/>
      <c r="G30" s="306"/>
      <c r="H30" s="249"/>
      <c r="I30" s="349"/>
      <c r="J30" s="348"/>
      <c r="K30" s="348"/>
      <c r="L30" s="348"/>
      <c r="M30" s="348"/>
      <c r="N30" s="348"/>
      <c r="O30" s="348"/>
      <c r="P30" s="386">
        <f t="shared" si="0"/>
        <v>0</v>
      </c>
      <c r="Q30" s="387">
        <f t="shared" si="1"/>
        <v>0</v>
      </c>
      <c r="R30" s="249"/>
      <c r="S30" s="249"/>
      <c r="T30" s="249"/>
      <c r="U30" s="249"/>
    </row>
    <row r="31" spans="1:21" ht="15.75" x14ac:dyDescent="0.25">
      <c r="A31" s="688"/>
      <c r="B31" s="690"/>
      <c r="C31" s="306"/>
      <c r="D31" s="306"/>
      <c r="E31" s="249"/>
      <c r="F31" s="306"/>
      <c r="G31" s="306"/>
      <c r="H31" s="249"/>
      <c r="I31" s="349"/>
      <c r="J31" s="348"/>
      <c r="K31" s="348"/>
      <c r="L31" s="348"/>
      <c r="M31" s="348"/>
      <c r="N31" s="348"/>
      <c r="O31" s="348"/>
      <c r="P31" s="386">
        <f t="shared" si="0"/>
        <v>0</v>
      </c>
      <c r="Q31" s="387">
        <f t="shared" si="1"/>
        <v>0</v>
      </c>
      <c r="R31" s="249"/>
      <c r="S31" s="249"/>
      <c r="T31" s="249"/>
      <c r="U31" s="249"/>
    </row>
    <row r="32" spans="1:21" ht="15.75" x14ac:dyDescent="0.25">
      <c r="A32" s="688"/>
      <c r="B32" s="690"/>
      <c r="C32" s="306"/>
      <c r="D32" s="306"/>
      <c r="E32" s="249"/>
      <c r="F32" s="306"/>
      <c r="G32" s="306"/>
      <c r="H32" s="249"/>
      <c r="I32" s="349"/>
      <c r="J32" s="348"/>
      <c r="K32" s="348"/>
      <c r="L32" s="348"/>
      <c r="M32" s="348"/>
      <c r="N32" s="348"/>
      <c r="O32" s="348"/>
      <c r="P32" s="386">
        <f t="shared" si="0"/>
        <v>0</v>
      </c>
      <c r="Q32" s="387">
        <f t="shared" si="1"/>
        <v>0</v>
      </c>
      <c r="R32" s="249"/>
      <c r="S32" s="249"/>
      <c r="T32" s="249"/>
      <c r="U32" s="249"/>
    </row>
    <row r="33" spans="1:21" ht="15.75" x14ac:dyDescent="0.25">
      <c r="A33" s="688"/>
      <c r="B33" s="690"/>
      <c r="C33" s="306"/>
      <c r="D33" s="306"/>
      <c r="E33" s="249"/>
      <c r="F33" s="306"/>
      <c r="G33" s="306"/>
      <c r="H33" s="249"/>
      <c r="I33" s="349"/>
      <c r="J33" s="348"/>
      <c r="K33" s="348"/>
      <c r="L33" s="348"/>
      <c r="M33" s="348"/>
      <c r="N33" s="348"/>
      <c r="O33" s="348"/>
      <c r="P33" s="386">
        <f t="shared" si="0"/>
        <v>0</v>
      </c>
      <c r="Q33" s="387">
        <f t="shared" si="1"/>
        <v>0</v>
      </c>
      <c r="R33" s="249"/>
      <c r="S33" s="249"/>
      <c r="T33" s="249"/>
      <c r="U33" s="249"/>
    </row>
    <row r="34" spans="1:21" ht="15.75" x14ac:dyDescent="0.25">
      <c r="A34" s="688"/>
      <c r="B34" s="690" t="s">
        <v>1454</v>
      </c>
      <c r="C34" s="306"/>
      <c r="D34" s="306"/>
      <c r="E34" s="249"/>
      <c r="F34" s="306"/>
      <c r="G34" s="306"/>
      <c r="H34" s="249"/>
      <c r="I34" s="349"/>
      <c r="J34" s="348"/>
      <c r="K34" s="348"/>
      <c r="L34" s="348"/>
      <c r="M34" s="348"/>
      <c r="N34" s="348"/>
      <c r="O34" s="348"/>
      <c r="P34" s="386">
        <f t="shared" si="0"/>
        <v>0</v>
      </c>
      <c r="Q34" s="387">
        <f t="shared" si="1"/>
        <v>0</v>
      </c>
      <c r="R34" s="249"/>
      <c r="S34" s="249"/>
      <c r="T34" s="249"/>
      <c r="U34" s="249"/>
    </row>
    <row r="35" spans="1:21" ht="15.75" x14ac:dyDescent="0.25">
      <c r="A35" s="688"/>
      <c r="B35" s="690"/>
      <c r="C35" s="306"/>
      <c r="D35" s="306"/>
      <c r="E35" s="249"/>
      <c r="F35" s="306"/>
      <c r="G35" s="306"/>
      <c r="H35" s="249"/>
      <c r="I35" s="349"/>
      <c r="J35" s="348"/>
      <c r="K35" s="348"/>
      <c r="L35" s="348"/>
      <c r="M35" s="348"/>
      <c r="N35" s="348"/>
      <c r="O35" s="348"/>
      <c r="P35" s="386">
        <f t="shared" si="0"/>
        <v>0</v>
      </c>
      <c r="Q35" s="387">
        <f t="shared" si="1"/>
        <v>0</v>
      </c>
      <c r="R35" s="249"/>
      <c r="S35" s="249"/>
      <c r="T35" s="249"/>
      <c r="U35" s="249"/>
    </row>
    <row r="36" spans="1:21" ht="15.75" x14ac:dyDescent="0.25">
      <c r="A36" s="688"/>
      <c r="B36" s="690"/>
      <c r="C36" s="306"/>
      <c r="D36" s="306"/>
      <c r="E36" s="249"/>
      <c r="F36" s="306"/>
      <c r="G36" s="306"/>
      <c r="H36" s="249"/>
      <c r="I36" s="349"/>
      <c r="J36" s="348"/>
      <c r="K36" s="348"/>
      <c r="L36" s="348"/>
      <c r="M36" s="348"/>
      <c r="N36" s="348"/>
      <c r="O36" s="348"/>
      <c r="P36" s="386">
        <f t="shared" si="0"/>
        <v>0</v>
      </c>
      <c r="Q36" s="387">
        <f t="shared" si="1"/>
        <v>0</v>
      </c>
      <c r="R36" s="249"/>
      <c r="S36" s="249"/>
      <c r="T36" s="249"/>
      <c r="U36" s="249"/>
    </row>
    <row r="37" spans="1:21" ht="15.75" x14ac:dyDescent="0.25">
      <c r="A37" s="688"/>
      <c r="B37" s="690"/>
      <c r="C37" s="306"/>
      <c r="D37" s="306"/>
      <c r="E37" s="249"/>
      <c r="F37" s="306"/>
      <c r="G37" s="306"/>
      <c r="H37" s="249"/>
      <c r="I37" s="349"/>
      <c r="J37" s="348"/>
      <c r="K37" s="348"/>
      <c r="L37" s="348"/>
      <c r="M37" s="348"/>
      <c r="N37" s="348"/>
      <c r="O37" s="348"/>
      <c r="P37" s="386">
        <f t="shared" si="0"/>
        <v>0</v>
      </c>
      <c r="Q37" s="387">
        <f t="shared" si="1"/>
        <v>0</v>
      </c>
      <c r="R37" s="249"/>
      <c r="S37" s="249"/>
      <c r="T37" s="249"/>
      <c r="U37" s="249"/>
    </row>
    <row r="38" spans="1:21" ht="15.75" x14ac:dyDescent="0.25">
      <c r="A38" s="688"/>
      <c r="B38" s="690" t="s">
        <v>1455</v>
      </c>
      <c r="C38" s="306"/>
      <c r="D38" s="306"/>
      <c r="E38" s="249"/>
      <c r="F38" s="306"/>
      <c r="G38" s="306"/>
      <c r="H38" s="249"/>
      <c r="I38" s="349"/>
      <c r="J38" s="348"/>
      <c r="K38" s="348"/>
      <c r="L38" s="348"/>
      <c r="M38" s="348"/>
      <c r="N38" s="348"/>
      <c r="O38" s="348"/>
      <c r="P38" s="386">
        <f t="shared" si="0"/>
        <v>0</v>
      </c>
      <c r="Q38" s="387">
        <f t="shared" si="1"/>
        <v>0</v>
      </c>
      <c r="R38" s="249"/>
      <c r="S38" s="249"/>
      <c r="T38" s="249"/>
      <c r="U38" s="249"/>
    </row>
    <row r="39" spans="1:21" ht="15.75" x14ac:dyDescent="0.25">
      <c r="A39" s="688"/>
      <c r="B39" s="690"/>
      <c r="C39" s="306"/>
      <c r="D39" s="306"/>
      <c r="E39" s="249"/>
      <c r="F39" s="306"/>
      <c r="G39" s="306"/>
      <c r="H39" s="249"/>
      <c r="I39" s="349"/>
      <c r="J39" s="348"/>
      <c r="K39" s="348"/>
      <c r="L39" s="348"/>
      <c r="M39" s="348"/>
      <c r="N39" s="348"/>
      <c r="O39" s="348"/>
      <c r="P39" s="386">
        <f t="shared" si="0"/>
        <v>0</v>
      </c>
      <c r="Q39" s="387">
        <f t="shared" si="1"/>
        <v>0</v>
      </c>
      <c r="R39" s="249"/>
      <c r="S39" s="249"/>
      <c r="T39" s="249"/>
      <c r="U39" s="249"/>
    </row>
    <row r="40" spans="1:21" ht="15.75" x14ac:dyDescent="0.25">
      <c r="A40" s="688"/>
      <c r="B40" s="690"/>
      <c r="C40" s="306"/>
      <c r="D40" s="306"/>
      <c r="E40" s="249"/>
      <c r="F40" s="306"/>
      <c r="G40" s="306"/>
      <c r="H40" s="249"/>
      <c r="I40" s="349"/>
      <c r="J40" s="348"/>
      <c r="K40" s="348"/>
      <c r="L40" s="348"/>
      <c r="M40" s="348"/>
      <c r="N40" s="348"/>
      <c r="O40" s="348"/>
      <c r="P40" s="386">
        <f t="shared" si="0"/>
        <v>0</v>
      </c>
      <c r="Q40" s="387">
        <f t="shared" si="1"/>
        <v>0</v>
      </c>
      <c r="R40" s="249"/>
      <c r="S40" s="249"/>
      <c r="T40" s="249"/>
      <c r="U40" s="249"/>
    </row>
    <row r="41" spans="1:21" ht="15.75" x14ac:dyDescent="0.25">
      <c r="A41" s="688"/>
      <c r="B41" s="690"/>
      <c r="C41" s="306"/>
      <c r="D41" s="306"/>
      <c r="E41" s="249"/>
      <c r="F41" s="306"/>
      <c r="G41" s="306"/>
      <c r="H41" s="249"/>
      <c r="I41" s="349"/>
      <c r="J41" s="348"/>
      <c r="K41" s="348"/>
      <c r="L41" s="348"/>
      <c r="M41" s="348"/>
      <c r="N41" s="348"/>
      <c r="O41" s="348"/>
      <c r="P41" s="386">
        <f t="shared" ref="P41:P73" si="2">H41+J41+L41+N41</f>
        <v>0</v>
      </c>
      <c r="Q41" s="387">
        <f t="shared" ref="Q41:Q73" si="3">I41+K41+M41+O41</f>
        <v>0</v>
      </c>
      <c r="R41" s="249"/>
      <c r="S41" s="249"/>
      <c r="T41" s="249"/>
      <c r="U41" s="249"/>
    </row>
    <row r="42" spans="1:21" ht="15.75" x14ac:dyDescent="0.25">
      <c r="A42" s="688"/>
      <c r="B42" s="690"/>
      <c r="C42" s="306"/>
      <c r="D42" s="306"/>
      <c r="E42" s="249"/>
      <c r="F42" s="306"/>
      <c r="G42" s="306"/>
      <c r="H42" s="249"/>
      <c r="I42" s="349"/>
      <c r="J42" s="348"/>
      <c r="K42" s="348"/>
      <c r="L42" s="348"/>
      <c r="M42" s="348"/>
      <c r="N42" s="348"/>
      <c r="O42" s="348"/>
      <c r="P42" s="386">
        <f t="shared" si="2"/>
        <v>0</v>
      </c>
      <c r="Q42" s="387">
        <f t="shared" si="3"/>
        <v>0</v>
      </c>
      <c r="R42" s="249"/>
      <c r="S42" s="249"/>
      <c r="T42" s="249"/>
      <c r="U42" s="249"/>
    </row>
    <row r="43" spans="1:21" ht="15.75" x14ac:dyDescent="0.25">
      <c r="A43" s="687" t="s">
        <v>1450</v>
      </c>
      <c r="B43" s="690" t="s">
        <v>1456</v>
      </c>
      <c r="C43" s="306"/>
      <c r="D43" s="306"/>
      <c r="E43" s="249"/>
      <c r="F43" s="306"/>
      <c r="G43" s="306"/>
      <c r="H43" s="250"/>
      <c r="I43" s="348"/>
      <c r="J43" s="350"/>
      <c r="K43" s="348"/>
      <c r="L43" s="350"/>
      <c r="M43" s="348"/>
      <c r="N43" s="350"/>
      <c r="O43" s="348"/>
      <c r="P43" s="386">
        <f t="shared" si="2"/>
        <v>0</v>
      </c>
      <c r="Q43" s="387">
        <f t="shared" si="3"/>
        <v>0</v>
      </c>
      <c r="R43" s="348"/>
      <c r="S43" s="249"/>
      <c r="T43" s="249"/>
      <c r="U43" s="249"/>
    </row>
    <row r="44" spans="1:21" ht="15.75" x14ac:dyDescent="0.25">
      <c r="A44" s="688"/>
      <c r="B44" s="690"/>
      <c r="C44" s="306"/>
      <c r="D44" s="306"/>
      <c r="E44" s="249"/>
      <c r="F44" s="306"/>
      <c r="G44" s="306"/>
      <c r="H44" s="250"/>
      <c r="I44" s="348"/>
      <c r="J44" s="350"/>
      <c r="K44" s="348"/>
      <c r="L44" s="350"/>
      <c r="M44" s="348"/>
      <c r="N44" s="350"/>
      <c r="O44" s="348"/>
      <c r="P44" s="386">
        <f t="shared" si="2"/>
        <v>0</v>
      </c>
      <c r="Q44" s="387">
        <f t="shared" si="3"/>
        <v>0</v>
      </c>
      <c r="R44" s="348"/>
      <c r="S44" s="249"/>
      <c r="T44" s="249"/>
      <c r="U44" s="249"/>
    </row>
    <row r="45" spans="1:21" ht="15.75" x14ac:dyDescent="0.25">
      <c r="A45" s="688"/>
      <c r="B45" s="690"/>
      <c r="C45" s="306"/>
      <c r="D45" s="306"/>
      <c r="E45" s="249"/>
      <c r="F45" s="306"/>
      <c r="G45" s="306"/>
      <c r="H45" s="250"/>
      <c r="I45" s="348"/>
      <c r="J45" s="350"/>
      <c r="K45" s="348"/>
      <c r="L45" s="350"/>
      <c r="M45" s="348"/>
      <c r="N45" s="350"/>
      <c r="O45" s="348"/>
      <c r="P45" s="386">
        <f t="shared" si="2"/>
        <v>0</v>
      </c>
      <c r="Q45" s="387">
        <f t="shared" si="3"/>
        <v>0</v>
      </c>
      <c r="R45" s="348"/>
      <c r="S45" s="249"/>
      <c r="T45" s="249"/>
      <c r="U45" s="249"/>
    </row>
    <row r="46" spans="1:21" ht="15.75" x14ac:dyDescent="0.25">
      <c r="A46" s="688"/>
      <c r="B46" s="690"/>
      <c r="C46" s="306"/>
      <c r="D46" s="306"/>
      <c r="E46" s="249"/>
      <c r="F46" s="306"/>
      <c r="G46" s="306"/>
      <c r="H46" s="250"/>
      <c r="I46" s="348"/>
      <c r="J46" s="350"/>
      <c r="K46" s="348"/>
      <c r="L46" s="350"/>
      <c r="M46" s="348"/>
      <c r="N46" s="350"/>
      <c r="O46" s="348"/>
      <c r="P46" s="386">
        <f t="shared" si="2"/>
        <v>0</v>
      </c>
      <c r="Q46" s="387">
        <f t="shared" si="3"/>
        <v>0</v>
      </c>
      <c r="R46" s="348"/>
      <c r="S46" s="249"/>
      <c r="T46" s="249"/>
      <c r="U46" s="249"/>
    </row>
    <row r="47" spans="1:21" ht="15.75" x14ac:dyDescent="0.25">
      <c r="A47" s="688"/>
      <c r="B47" s="690"/>
      <c r="C47" s="306"/>
      <c r="D47" s="306"/>
      <c r="E47" s="249"/>
      <c r="F47" s="306"/>
      <c r="G47" s="306"/>
      <c r="H47" s="250"/>
      <c r="I47" s="348"/>
      <c r="J47" s="350"/>
      <c r="K47" s="348"/>
      <c r="L47" s="350"/>
      <c r="M47" s="348"/>
      <c r="N47" s="350"/>
      <c r="O47" s="348"/>
      <c r="P47" s="386">
        <f t="shared" si="2"/>
        <v>0</v>
      </c>
      <c r="Q47" s="387">
        <f t="shared" si="3"/>
        <v>0</v>
      </c>
      <c r="R47" s="348"/>
      <c r="S47" s="249"/>
      <c r="T47" s="249"/>
      <c r="U47" s="249"/>
    </row>
    <row r="48" spans="1:21" ht="15.75" x14ac:dyDescent="0.25">
      <c r="A48" s="688"/>
      <c r="B48" s="690"/>
      <c r="C48" s="306"/>
      <c r="D48" s="306"/>
      <c r="E48" s="249"/>
      <c r="F48" s="306"/>
      <c r="G48" s="306"/>
      <c r="H48" s="250"/>
      <c r="I48" s="348"/>
      <c r="J48" s="350"/>
      <c r="K48" s="348"/>
      <c r="L48" s="350"/>
      <c r="M48" s="348"/>
      <c r="N48" s="350"/>
      <c r="O48" s="348"/>
      <c r="P48" s="386">
        <f t="shared" si="2"/>
        <v>0</v>
      </c>
      <c r="Q48" s="387">
        <f t="shared" si="3"/>
        <v>0</v>
      </c>
      <c r="R48" s="348"/>
      <c r="S48" s="249"/>
      <c r="T48" s="249"/>
      <c r="U48" s="249"/>
    </row>
    <row r="49" spans="1:21" ht="15.75" customHeight="1" x14ac:dyDescent="0.25">
      <c r="A49" s="688"/>
      <c r="B49" s="690" t="s">
        <v>1457</v>
      </c>
      <c r="C49" s="306"/>
      <c r="D49" s="306"/>
      <c r="E49" s="249"/>
      <c r="F49" s="306"/>
      <c r="G49" s="306"/>
      <c r="H49" s="250"/>
      <c r="I49" s="348"/>
      <c r="J49" s="350"/>
      <c r="K49" s="348"/>
      <c r="L49" s="350"/>
      <c r="M49" s="348"/>
      <c r="N49" s="350"/>
      <c r="O49" s="348"/>
      <c r="P49" s="386">
        <f t="shared" si="2"/>
        <v>0</v>
      </c>
      <c r="Q49" s="387">
        <f t="shared" si="3"/>
        <v>0</v>
      </c>
      <c r="R49" s="348"/>
      <c r="S49" s="249"/>
      <c r="T49" s="249"/>
      <c r="U49" s="249"/>
    </row>
    <row r="50" spans="1:21" ht="15.75" customHeight="1" x14ac:dyDescent="0.25">
      <c r="A50" s="688"/>
      <c r="B50" s="690"/>
      <c r="C50" s="306"/>
      <c r="D50" s="306"/>
      <c r="E50" s="249"/>
      <c r="F50" s="306"/>
      <c r="G50" s="306"/>
      <c r="H50" s="250"/>
      <c r="I50" s="348"/>
      <c r="J50" s="350"/>
      <c r="K50" s="348"/>
      <c r="L50" s="350"/>
      <c r="M50" s="348"/>
      <c r="N50" s="350"/>
      <c r="O50" s="348"/>
      <c r="P50" s="386">
        <f t="shared" si="2"/>
        <v>0</v>
      </c>
      <c r="Q50" s="387">
        <f t="shared" si="3"/>
        <v>0</v>
      </c>
      <c r="R50" s="348"/>
      <c r="S50" s="249"/>
      <c r="T50" s="249"/>
      <c r="U50" s="249"/>
    </row>
    <row r="51" spans="1:21" ht="15.75" customHeight="1" x14ac:dyDescent="0.25">
      <c r="A51" s="688"/>
      <c r="B51" s="690"/>
      <c r="C51" s="306"/>
      <c r="D51" s="306"/>
      <c r="E51" s="249"/>
      <c r="F51" s="306"/>
      <c r="G51" s="306"/>
      <c r="H51" s="250"/>
      <c r="I51" s="348"/>
      <c r="J51" s="350"/>
      <c r="K51" s="348"/>
      <c r="L51" s="350"/>
      <c r="M51" s="348"/>
      <c r="N51" s="350"/>
      <c r="O51" s="348"/>
      <c r="P51" s="386">
        <f t="shared" si="2"/>
        <v>0</v>
      </c>
      <c r="Q51" s="387">
        <f t="shared" si="3"/>
        <v>0</v>
      </c>
      <c r="R51" s="348"/>
      <c r="S51" s="249"/>
      <c r="T51" s="249"/>
      <c r="U51" s="249"/>
    </row>
    <row r="52" spans="1:21" ht="15.75" customHeight="1" x14ac:dyDescent="0.25">
      <c r="A52" s="688"/>
      <c r="B52" s="690" t="s">
        <v>1458</v>
      </c>
      <c r="C52" s="306"/>
      <c r="D52" s="306"/>
      <c r="E52" s="249"/>
      <c r="F52" s="306"/>
      <c r="G52" s="306"/>
      <c r="H52" s="250"/>
      <c r="I52" s="348"/>
      <c r="J52" s="350"/>
      <c r="K52" s="348"/>
      <c r="L52" s="350"/>
      <c r="M52" s="348"/>
      <c r="N52" s="350"/>
      <c r="O52" s="348"/>
      <c r="P52" s="386">
        <f t="shared" si="2"/>
        <v>0</v>
      </c>
      <c r="Q52" s="387">
        <f t="shared" si="3"/>
        <v>0</v>
      </c>
      <c r="R52" s="348"/>
      <c r="S52" s="249"/>
      <c r="T52" s="249"/>
      <c r="U52" s="249"/>
    </row>
    <row r="53" spans="1:21" ht="15.75" customHeight="1" x14ac:dyDescent="0.25">
      <c r="A53" s="688"/>
      <c r="B53" s="690"/>
      <c r="C53" s="306"/>
      <c r="D53" s="306"/>
      <c r="E53" s="249"/>
      <c r="F53" s="306"/>
      <c r="G53" s="306"/>
      <c r="H53" s="250"/>
      <c r="I53" s="348"/>
      <c r="J53" s="350"/>
      <c r="K53" s="348"/>
      <c r="L53" s="350"/>
      <c r="M53" s="348"/>
      <c r="N53" s="350"/>
      <c r="O53" s="348"/>
      <c r="P53" s="386">
        <f t="shared" si="2"/>
        <v>0</v>
      </c>
      <c r="Q53" s="387">
        <f t="shared" si="3"/>
        <v>0</v>
      </c>
      <c r="R53" s="348"/>
      <c r="S53" s="249"/>
      <c r="T53" s="249"/>
      <c r="U53" s="249"/>
    </row>
    <row r="54" spans="1:21" ht="15.75" customHeight="1" x14ac:dyDescent="0.25">
      <c r="A54" s="688"/>
      <c r="B54" s="690"/>
      <c r="C54" s="306"/>
      <c r="D54" s="306"/>
      <c r="E54" s="249"/>
      <c r="F54" s="306"/>
      <c r="G54" s="306"/>
      <c r="H54" s="250"/>
      <c r="I54" s="348"/>
      <c r="J54" s="350"/>
      <c r="K54" s="348"/>
      <c r="L54" s="350"/>
      <c r="M54" s="348"/>
      <c r="N54" s="350"/>
      <c r="O54" s="348"/>
      <c r="P54" s="386">
        <f t="shared" si="2"/>
        <v>0</v>
      </c>
      <c r="Q54" s="387">
        <f t="shared" si="3"/>
        <v>0</v>
      </c>
      <c r="R54" s="348"/>
      <c r="S54" s="249"/>
      <c r="T54" s="249"/>
      <c r="U54" s="249"/>
    </row>
    <row r="55" spans="1:21" ht="15.75" customHeight="1" x14ac:dyDescent="0.25">
      <c r="A55" s="688"/>
      <c r="B55" s="690"/>
      <c r="C55" s="306"/>
      <c r="D55" s="306"/>
      <c r="E55" s="249"/>
      <c r="F55" s="306"/>
      <c r="G55" s="306"/>
      <c r="H55" s="250"/>
      <c r="I55" s="348"/>
      <c r="J55" s="350"/>
      <c r="K55" s="348"/>
      <c r="L55" s="350"/>
      <c r="M55" s="348"/>
      <c r="N55" s="350"/>
      <c r="O55" s="348"/>
      <c r="P55" s="386">
        <f t="shared" si="2"/>
        <v>0</v>
      </c>
      <c r="Q55" s="387">
        <f t="shared" si="3"/>
        <v>0</v>
      </c>
      <c r="R55" s="348"/>
      <c r="S55" s="249"/>
      <c r="T55" s="249"/>
      <c r="U55" s="249"/>
    </row>
    <row r="56" spans="1:21" ht="15.75" customHeight="1" x14ac:dyDescent="0.25">
      <c r="A56" s="688"/>
      <c r="B56" s="690" t="s">
        <v>1459</v>
      </c>
      <c r="C56" s="306"/>
      <c r="D56" s="306"/>
      <c r="E56" s="249"/>
      <c r="F56" s="306"/>
      <c r="G56" s="306"/>
      <c r="H56" s="250"/>
      <c r="I56" s="348"/>
      <c r="J56" s="350"/>
      <c r="K56" s="348"/>
      <c r="L56" s="350"/>
      <c r="M56" s="348"/>
      <c r="N56" s="350"/>
      <c r="O56" s="348"/>
      <c r="P56" s="386">
        <f t="shared" si="2"/>
        <v>0</v>
      </c>
      <c r="Q56" s="387">
        <f t="shared" si="3"/>
        <v>0</v>
      </c>
      <c r="R56" s="348"/>
      <c r="S56" s="249"/>
      <c r="T56" s="249"/>
      <c r="U56" s="249"/>
    </row>
    <row r="57" spans="1:21" ht="15.75" customHeight="1" x14ac:dyDescent="0.25">
      <c r="A57" s="688"/>
      <c r="B57" s="690"/>
      <c r="C57" s="306"/>
      <c r="D57" s="306"/>
      <c r="E57" s="249"/>
      <c r="F57" s="306"/>
      <c r="G57" s="306"/>
      <c r="H57" s="250"/>
      <c r="I57" s="348"/>
      <c r="J57" s="350"/>
      <c r="K57" s="348"/>
      <c r="L57" s="350"/>
      <c r="M57" s="348"/>
      <c r="N57" s="350"/>
      <c r="O57" s="348"/>
      <c r="P57" s="386">
        <f t="shared" si="2"/>
        <v>0</v>
      </c>
      <c r="Q57" s="387">
        <f t="shared" si="3"/>
        <v>0</v>
      </c>
      <c r="R57" s="348"/>
      <c r="S57" s="249"/>
      <c r="T57" s="249"/>
      <c r="U57" s="249"/>
    </row>
    <row r="58" spans="1:21" ht="15.75" customHeight="1" x14ac:dyDescent="0.25">
      <c r="A58" s="688"/>
      <c r="B58" s="690"/>
      <c r="C58" s="306"/>
      <c r="D58" s="306"/>
      <c r="E58" s="249"/>
      <c r="F58" s="306"/>
      <c r="G58" s="306"/>
      <c r="H58" s="250"/>
      <c r="I58" s="348"/>
      <c r="J58" s="350"/>
      <c r="K58" s="348"/>
      <c r="L58" s="350"/>
      <c r="M58" s="348"/>
      <c r="N58" s="350"/>
      <c r="O58" s="348"/>
      <c r="P58" s="386">
        <f t="shared" si="2"/>
        <v>0</v>
      </c>
      <c r="Q58" s="387">
        <f t="shared" si="3"/>
        <v>0</v>
      </c>
      <c r="R58" s="348"/>
      <c r="S58" s="249"/>
      <c r="T58" s="249"/>
      <c r="U58" s="249"/>
    </row>
    <row r="59" spans="1:21" ht="15.75" customHeight="1" x14ac:dyDescent="0.25">
      <c r="A59" s="688"/>
      <c r="B59" s="690"/>
      <c r="C59" s="306"/>
      <c r="D59" s="306"/>
      <c r="E59" s="249"/>
      <c r="F59" s="306"/>
      <c r="G59" s="306"/>
      <c r="H59" s="250"/>
      <c r="I59" s="348"/>
      <c r="J59" s="350"/>
      <c r="K59" s="348"/>
      <c r="L59" s="350"/>
      <c r="M59" s="348"/>
      <c r="N59" s="350"/>
      <c r="O59" s="348"/>
      <c r="P59" s="386">
        <f t="shared" si="2"/>
        <v>0</v>
      </c>
      <c r="Q59" s="387">
        <f t="shared" si="3"/>
        <v>0</v>
      </c>
      <c r="R59" s="348"/>
      <c r="S59" s="249"/>
      <c r="T59" s="249"/>
      <c r="U59" s="249"/>
    </row>
    <row r="60" spans="1:21" ht="15.75" x14ac:dyDescent="0.25">
      <c r="A60" s="688"/>
      <c r="B60" s="690" t="s">
        <v>1460</v>
      </c>
      <c r="C60" s="306"/>
      <c r="D60" s="306"/>
      <c r="E60" s="249"/>
      <c r="F60" s="306"/>
      <c r="G60" s="306"/>
      <c r="H60" s="250"/>
      <c r="I60" s="348"/>
      <c r="J60" s="350"/>
      <c r="K60" s="348"/>
      <c r="L60" s="350"/>
      <c r="M60" s="348"/>
      <c r="N60" s="350"/>
      <c r="O60" s="348"/>
      <c r="P60" s="386">
        <f t="shared" si="2"/>
        <v>0</v>
      </c>
      <c r="Q60" s="387">
        <f t="shared" si="3"/>
        <v>0</v>
      </c>
      <c r="R60" s="348"/>
      <c r="S60" s="249"/>
      <c r="T60" s="249"/>
      <c r="U60" s="249"/>
    </row>
    <row r="61" spans="1:21" ht="15.75" x14ac:dyDescent="0.25">
      <c r="A61" s="688"/>
      <c r="B61" s="690"/>
      <c r="C61" s="306"/>
      <c r="D61" s="306"/>
      <c r="E61" s="249"/>
      <c r="F61" s="306"/>
      <c r="G61" s="306"/>
      <c r="H61" s="250"/>
      <c r="I61" s="348"/>
      <c r="J61" s="350"/>
      <c r="K61" s="348"/>
      <c r="L61" s="350"/>
      <c r="M61" s="348"/>
      <c r="N61" s="350"/>
      <c r="O61" s="348"/>
      <c r="P61" s="386">
        <f t="shared" si="2"/>
        <v>0</v>
      </c>
      <c r="Q61" s="387">
        <f t="shared" si="3"/>
        <v>0</v>
      </c>
      <c r="R61" s="348"/>
      <c r="S61" s="249"/>
      <c r="T61" s="249"/>
      <c r="U61" s="249"/>
    </row>
    <row r="62" spans="1:21" ht="15.75" x14ac:dyDescent="0.25">
      <c r="A62" s="688"/>
      <c r="B62" s="690"/>
      <c r="C62" s="306"/>
      <c r="D62" s="306"/>
      <c r="E62" s="249"/>
      <c r="F62" s="306"/>
      <c r="G62" s="306"/>
      <c r="H62" s="250"/>
      <c r="I62" s="348"/>
      <c r="J62" s="350"/>
      <c r="K62" s="348"/>
      <c r="L62" s="350"/>
      <c r="M62" s="348"/>
      <c r="N62" s="350"/>
      <c r="O62" s="348"/>
      <c r="P62" s="386">
        <f t="shared" si="2"/>
        <v>0</v>
      </c>
      <c r="Q62" s="387">
        <f t="shared" si="3"/>
        <v>0</v>
      </c>
      <c r="R62" s="348"/>
      <c r="S62" s="249"/>
      <c r="T62" s="249"/>
      <c r="U62" s="249"/>
    </row>
    <row r="63" spans="1:21" ht="15.75" x14ac:dyDescent="0.25">
      <c r="A63" s="688"/>
      <c r="B63" s="690"/>
      <c r="C63" s="306"/>
      <c r="D63" s="306"/>
      <c r="E63" s="249"/>
      <c r="F63" s="306"/>
      <c r="G63" s="306"/>
      <c r="H63" s="250"/>
      <c r="I63" s="348"/>
      <c r="J63" s="350"/>
      <c r="K63" s="348"/>
      <c r="L63" s="350"/>
      <c r="M63" s="348"/>
      <c r="N63" s="350"/>
      <c r="O63" s="348"/>
      <c r="P63" s="386">
        <f t="shared" si="2"/>
        <v>0</v>
      </c>
      <c r="Q63" s="387">
        <f t="shared" si="3"/>
        <v>0</v>
      </c>
      <c r="R63" s="348"/>
      <c r="S63" s="249"/>
      <c r="T63" s="249"/>
      <c r="U63" s="249"/>
    </row>
    <row r="64" spans="1:21" ht="15.75" customHeight="1" x14ac:dyDescent="0.25">
      <c r="A64" s="688"/>
      <c r="B64" s="695" t="s">
        <v>1461</v>
      </c>
      <c r="C64" s="306"/>
      <c r="D64" s="306"/>
      <c r="E64" s="249"/>
      <c r="F64" s="306"/>
      <c r="G64" s="306"/>
      <c r="H64" s="250"/>
      <c r="I64" s="348"/>
      <c r="J64" s="350"/>
      <c r="K64" s="348"/>
      <c r="L64" s="350"/>
      <c r="M64" s="348"/>
      <c r="N64" s="350"/>
      <c r="O64" s="348"/>
      <c r="P64" s="386">
        <f t="shared" si="2"/>
        <v>0</v>
      </c>
      <c r="Q64" s="387">
        <f t="shared" si="3"/>
        <v>0</v>
      </c>
      <c r="R64" s="348"/>
      <c r="S64" s="249"/>
      <c r="T64" s="249"/>
      <c r="U64" s="249"/>
    </row>
    <row r="65" spans="1:21" ht="15.75" customHeight="1" x14ac:dyDescent="0.25">
      <c r="A65" s="688"/>
      <c r="B65" s="696"/>
      <c r="C65" s="306"/>
      <c r="D65" s="306"/>
      <c r="E65" s="249"/>
      <c r="F65" s="306"/>
      <c r="G65" s="306"/>
      <c r="H65" s="250"/>
      <c r="I65" s="348"/>
      <c r="J65" s="350"/>
      <c r="K65" s="348"/>
      <c r="L65" s="350"/>
      <c r="M65" s="348"/>
      <c r="N65" s="350"/>
      <c r="O65" s="348"/>
      <c r="P65" s="386">
        <f t="shared" si="2"/>
        <v>0</v>
      </c>
      <c r="Q65" s="387">
        <f t="shared" si="3"/>
        <v>0</v>
      </c>
      <c r="R65" s="348"/>
      <c r="S65" s="249"/>
      <c r="T65" s="249"/>
      <c r="U65" s="249"/>
    </row>
    <row r="66" spans="1:21" ht="15.75" customHeight="1" x14ac:dyDescent="0.25">
      <c r="A66" s="688"/>
      <c r="B66" s="696"/>
      <c r="C66" s="306"/>
      <c r="D66" s="306"/>
      <c r="E66" s="249"/>
      <c r="F66" s="306"/>
      <c r="G66" s="306"/>
      <c r="H66" s="250"/>
      <c r="I66" s="348"/>
      <c r="J66" s="350"/>
      <c r="K66" s="348"/>
      <c r="L66" s="350"/>
      <c r="M66" s="348"/>
      <c r="N66" s="350"/>
      <c r="O66" s="348"/>
      <c r="P66" s="386">
        <f t="shared" si="2"/>
        <v>0</v>
      </c>
      <c r="Q66" s="387">
        <f t="shared" si="3"/>
        <v>0</v>
      </c>
      <c r="R66" s="348"/>
      <c r="S66" s="249"/>
      <c r="T66" s="249"/>
      <c r="U66" s="249"/>
    </row>
    <row r="67" spans="1:21" ht="18" customHeight="1" x14ac:dyDescent="0.25">
      <c r="A67" s="688"/>
      <c r="B67" s="697"/>
      <c r="C67" s="306"/>
      <c r="D67" s="306"/>
      <c r="E67" s="249"/>
      <c r="F67" s="306"/>
      <c r="G67" s="306"/>
      <c r="H67" s="250"/>
      <c r="I67" s="348"/>
      <c r="J67" s="350"/>
      <c r="K67" s="348"/>
      <c r="L67" s="350"/>
      <c r="M67" s="348"/>
      <c r="N67" s="350"/>
      <c r="O67" s="348"/>
      <c r="P67" s="386">
        <f t="shared" si="2"/>
        <v>0</v>
      </c>
      <c r="Q67" s="387">
        <f t="shared" si="3"/>
        <v>0</v>
      </c>
      <c r="R67" s="348"/>
      <c r="S67" s="249"/>
      <c r="T67" s="249"/>
      <c r="U67" s="249"/>
    </row>
    <row r="68" spans="1:21" ht="15.75" x14ac:dyDescent="0.25">
      <c r="A68" s="688"/>
      <c r="B68" s="694" t="s">
        <v>1462</v>
      </c>
      <c r="C68" s="306"/>
      <c r="D68" s="306"/>
      <c r="E68" s="249"/>
      <c r="F68" s="306"/>
      <c r="G68" s="306"/>
      <c r="H68" s="250"/>
      <c r="I68" s="348"/>
      <c r="J68" s="350"/>
      <c r="K68" s="348"/>
      <c r="L68" s="350"/>
      <c r="M68" s="348"/>
      <c r="N68" s="350"/>
      <c r="O68" s="348"/>
      <c r="P68" s="386">
        <f t="shared" si="2"/>
        <v>0</v>
      </c>
      <c r="Q68" s="387">
        <f t="shared" si="3"/>
        <v>0</v>
      </c>
      <c r="R68" s="348"/>
      <c r="S68" s="249"/>
      <c r="T68" s="249"/>
      <c r="U68" s="249"/>
    </row>
    <row r="69" spans="1:21" ht="15.75" x14ac:dyDescent="0.25">
      <c r="A69" s="688"/>
      <c r="B69" s="694"/>
      <c r="C69" s="306"/>
      <c r="D69" s="306"/>
      <c r="E69" s="249"/>
      <c r="F69" s="306"/>
      <c r="G69" s="306"/>
      <c r="H69" s="250"/>
      <c r="I69" s="348"/>
      <c r="J69" s="350"/>
      <c r="K69" s="348"/>
      <c r="L69" s="350"/>
      <c r="M69" s="348"/>
      <c r="N69" s="350"/>
      <c r="O69" s="348"/>
      <c r="P69" s="386">
        <f t="shared" si="2"/>
        <v>0</v>
      </c>
      <c r="Q69" s="387">
        <f t="shared" si="3"/>
        <v>0</v>
      </c>
      <c r="R69" s="348"/>
      <c r="S69" s="249"/>
      <c r="T69" s="249"/>
      <c r="U69" s="249"/>
    </row>
    <row r="70" spans="1:21" ht="15.75" x14ac:dyDescent="0.25">
      <c r="A70" s="688"/>
      <c r="B70" s="694"/>
      <c r="C70" s="306"/>
      <c r="D70" s="306"/>
      <c r="E70" s="249"/>
      <c r="F70" s="306"/>
      <c r="G70" s="306"/>
      <c r="H70" s="250"/>
      <c r="I70" s="348"/>
      <c r="J70" s="350"/>
      <c r="K70" s="348"/>
      <c r="L70" s="350"/>
      <c r="M70" s="348"/>
      <c r="N70" s="350"/>
      <c r="O70" s="348"/>
      <c r="P70" s="386">
        <f t="shared" si="2"/>
        <v>0</v>
      </c>
      <c r="Q70" s="387">
        <f t="shared" si="3"/>
        <v>0</v>
      </c>
      <c r="R70" s="348"/>
      <c r="S70" s="249"/>
      <c r="T70" s="249"/>
      <c r="U70" s="249"/>
    </row>
    <row r="71" spans="1:21" ht="15.75" customHeight="1" x14ac:dyDescent="0.25">
      <c r="A71" s="688"/>
      <c r="B71" s="695" t="s">
        <v>1463</v>
      </c>
      <c r="C71" s="306"/>
      <c r="D71" s="306"/>
      <c r="E71" s="249"/>
      <c r="F71" s="306"/>
      <c r="G71" s="306"/>
      <c r="H71" s="250"/>
      <c r="I71" s="348"/>
      <c r="J71" s="350"/>
      <c r="K71" s="348"/>
      <c r="L71" s="350"/>
      <c r="M71" s="348"/>
      <c r="N71" s="350"/>
      <c r="O71" s="348"/>
      <c r="P71" s="386">
        <f t="shared" si="2"/>
        <v>0</v>
      </c>
      <c r="Q71" s="387">
        <f t="shared" si="3"/>
        <v>0</v>
      </c>
      <c r="R71" s="348"/>
      <c r="S71" s="249"/>
      <c r="T71" s="249"/>
      <c r="U71" s="249"/>
    </row>
    <row r="72" spans="1:21" ht="15.75" customHeight="1" x14ac:dyDescent="0.25">
      <c r="A72" s="688"/>
      <c r="B72" s="696"/>
      <c r="C72" s="306"/>
      <c r="D72" s="306"/>
      <c r="E72" s="249"/>
      <c r="F72" s="306"/>
      <c r="G72" s="306"/>
      <c r="H72" s="250"/>
      <c r="I72" s="348"/>
      <c r="J72" s="350"/>
      <c r="K72" s="348"/>
      <c r="L72" s="350"/>
      <c r="M72" s="348"/>
      <c r="N72" s="350"/>
      <c r="O72" s="348"/>
      <c r="P72" s="386">
        <f t="shared" si="2"/>
        <v>0</v>
      </c>
      <c r="Q72" s="387">
        <f t="shared" si="3"/>
        <v>0</v>
      </c>
      <c r="R72" s="348"/>
      <c r="S72" s="249"/>
      <c r="T72" s="249"/>
      <c r="U72" s="249"/>
    </row>
    <row r="73" spans="1:21" ht="15.75" x14ac:dyDescent="0.25">
      <c r="A73" s="688"/>
      <c r="B73" s="697"/>
      <c r="C73" s="306"/>
      <c r="D73" s="306"/>
      <c r="E73" s="249"/>
      <c r="F73" s="306"/>
      <c r="G73" s="306"/>
      <c r="H73" s="250"/>
      <c r="I73" s="348"/>
      <c r="J73" s="350"/>
      <c r="K73" s="348"/>
      <c r="L73" s="350"/>
      <c r="M73" s="348"/>
      <c r="N73" s="350"/>
      <c r="O73" s="348"/>
      <c r="P73" s="386">
        <f t="shared" si="2"/>
        <v>0</v>
      </c>
      <c r="Q73" s="387">
        <f t="shared" si="3"/>
        <v>0</v>
      </c>
      <c r="R73" s="348"/>
      <c r="S73" s="249"/>
      <c r="T73" s="249"/>
      <c r="U73" s="249"/>
    </row>
    <row r="74" spans="1:21" s="260" customFormat="1" ht="15.75" x14ac:dyDescent="0.25">
      <c r="A74" s="291"/>
      <c r="B74" s="292"/>
      <c r="C74" s="291" t="s">
        <v>97</v>
      </c>
      <c r="D74" s="292"/>
      <c r="E74" s="292"/>
      <c r="F74" s="292"/>
      <c r="G74" s="293"/>
      <c r="H74" s="263">
        <f>SUM(H8:H73)</f>
        <v>0</v>
      </c>
      <c r="I74" s="263">
        <f t="shared" ref="I74:Q74" si="4">SUM(I8:I73)</f>
        <v>0</v>
      </c>
      <c r="J74" s="263">
        <f t="shared" si="4"/>
        <v>0</v>
      </c>
      <c r="K74" s="263">
        <f t="shared" si="4"/>
        <v>0</v>
      </c>
      <c r="L74" s="263">
        <f t="shared" si="4"/>
        <v>0</v>
      </c>
      <c r="M74" s="263">
        <f t="shared" si="4"/>
        <v>0</v>
      </c>
      <c r="N74" s="263">
        <f t="shared" si="4"/>
        <v>0</v>
      </c>
      <c r="O74" s="263">
        <f t="shared" si="4"/>
        <v>0</v>
      </c>
      <c r="P74" s="263">
        <f t="shared" si="4"/>
        <v>0</v>
      </c>
      <c r="Q74" s="263">
        <f t="shared" si="4"/>
        <v>0</v>
      </c>
      <c r="R74" s="264"/>
      <c r="S74" s="264"/>
      <c r="T74" s="264"/>
      <c r="U74" s="264"/>
    </row>
    <row r="75" spans="1:21" ht="15.75" x14ac:dyDescent="0.25">
      <c r="A75" s="260"/>
      <c r="B75" s="260"/>
      <c r="C75" s="260"/>
      <c r="D75" s="260"/>
      <c r="E75" s="260"/>
      <c r="F75" s="259"/>
      <c r="G75" s="260"/>
      <c r="H75" s="260"/>
      <c r="S75" s="265"/>
      <c r="T75" s="265"/>
      <c r="U75" s="266"/>
    </row>
    <row r="76" spans="1:21" ht="15.75" x14ac:dyDescent="0.25">
      <c r="F76" s="259"/>
      <c r="S76" s="265"/>
      <c r="T76" s="265"/>
    </row>
    <row r="77" spans="1:21" ht="15.75" x14ac:dyDescent="0.25">
      <c r="F77" s="259"/>
      <c r="S77" s="265"/>
      <c r="T77" s="265"/>
    </row>
    <row r="78" spans="1:21" ht="15.75" x14ac:dyDescent="0.25">
      <c r="F78" s="259"/>
      <c r="S78" s="265"/>
      <c r="T78" s="265"/>
    </row>
    <row r="79" spans="1:21" ht="15.75" x14ac:dyDescent="0.25">
      <c r="F79" s="259"/>
      <c r="S79" s="265"/>
      <c r="T79" s="265"/>
    </row>
    <row r="80" spans="1:21" ht="15.75" x14ac:dyDescent="0.25">
      <c r="F80" s="259"/>
      <c r="S80" s="265"/>
      <c r="T80" s="265"/>
    </row>
    <row r="81" spans="6:20" ht="15.75" x14ac:dyDescent="0.25">
      <c r="F81" s="259"/>
      <c r="S81" s="265"/>
      <c r="T81" s="265"/>
    </row>
    <row r="82" spans="6:20" ht="15.75" x14ac:dyDescent="0.25">
      <c r="F82" s="259"/>
      <c r="S82" s="265"/>
      <c r="T82" s="265"/>
    </row>
    <row r="83" spans="6:20" ht="15.75" x14ac:dyDescent="0.25">
      <c r="F83" s="259"/>
      <c r="S83" s="265"/>
      <c r="T83" s="265"/>
    </row>
    <row r="84" spans="6:20" ht="15.75" x14ac:dyDescent="0.25">
      <c r="F84" s="259"/>
      <c r="S84" s="267"/>
      <c r="T84" s="267"/>
    </row>
    <row r="85" spans="6:20" ht="15.75" x14ac:dyDescent="0.25">
      <c r="F85" s="259"/>
      <c r="S85" s="265"/>
      <c r="T85" s="265"/>
    </row>
    <row r="86" spans="6:20" ht="15.75" x14ac:dyDescent="0.25">
      <c r="F86" s="259"/>
      <c r="S86" s="265"/>
      <c r="T86" s="265"/>
    </row>
    <row r="87" spans="6:20" ht="15.75" x14ac:dyDescent="0.25">
      <c r="F87" s="259"/>
      <c r="S87" s="265"/>
      <c r="T87" s="265"/>
    </row>
    <row r="88" spans="6:20" ht="15.75" x14ac:dyDescent="0.25">
      <c r="F88" s="259"/>
      <c r="S88" s="265"/>
      <c r="T88" s="265"/>
    </row>
    <row r="89" spans="6:20" ht="15.75" x14ac:dyDescent="0.25">
      <c r="F89" s="259"/>
      <c r="S89" s="265"/>
      <c r="T89" s="265"/>
    </row>
    <row r="90" spans="6:20" ht="15.75" x14ac:dyDescent="0.25">
      <c r="F90" s="259"/>
      <c r="S90" s="265"/>
      <c r="T90" s="265"/>
    </row>
    <row r="91" spans="6:20" ht="15.75" x14ac:dyDescent="0.25">
      <c r="F91" s="259"/>
      <c r="S91" s="265"/>
      <c r="T91" s="265"/>
    </row>
    <row r="92" spans="6:20" ht="15.75" x14ac:dyDescent="0.25">
      <c r="F92" s="259"/>
      <c r="S92" s="265"/>
      <c r="T92" s="265"/>
    </row>
    <row r="93" spans="6:20" ht="15.75" x14ac:dyDescent="0.25">
      <c r="F93" s="259"/>
      <c r="S93" s="265"/>
      <c r="T93" s="265"/>
    </row>
    <row r="94" spans="6:20" x14ac:dyDescent="0.25">
      <c r="S94" s="265"/>
      <c r="T94" s="265"/>
    </row>
    <row r="95" spans="6:20" x14ac:dyDescent="0.25">
      <c r="S95" s="265"/>
      <c r="T95" s="265"/>
    </row>
    <row r="96" spans="6:20" x14ac:dyDescent="0.25">
      <c r="S96" s="265"/>
      <c r="T96" s="265"/>
    </row>
    <row r="97" spans="6:20" x14ac:dyDescent="0.25">
      <c r="S97" s="265"/>
      <c r="T97" s="265"/>
    </row>
    <row r="98" spans="6:20" x14ac:dyDescent="0.25">
      <c r="S98" s="265"/>
      <c r="T98" s="265"/>
    </row>
    <row r="99" spans="6:20" x14ac:dyDescent="0.25">
      <c r="S99" s="265"/>
      <c r="T99" s="265"/>
    </row>
    <row r="100" spans="6:20" x14ac:dyDescent="0.25">
      <c r="S100" s="265"/>
      <c r="T100" s="265"/>
    </row>
    <row r="101" spans="6:20" x14ac:dyDescent="0.25">
      <c r="S101" s="265"/>
      <c r="T101" s="265"/>
    </row>
    <row r="105" spans="6:20" x14ac:dyDescent="0.25">
      <c r="F105" s="252"/>
      <c r="S105" s="262"/>
      <c r="T105" s="262"/>
    </row>
    <row r="106" spans="6:20" x14ac:dyDescent="0.25">
      <c r="F106" s="252"/>
      <c r="S106" s="262"/>
      <c r="T106" s="262"/>
    </row>
    <row r="107" spans="6:20" x14ac:dyDescent="0.25">
      <c r="F107" s="252"/>
      <c r="S107" s="262"/>
      <c r="T107" s="262"/>
    </row>
    <row r="108" spans="6:20" x14ac:dyDescent="0.25">
      <c r="F108" s="252"/>
      <c r="S108" s="262"/>
      <c r="T108" s="262"/>
    </row>
    <row r="109" spans="6:20" x14ac:dyDescent="0.25">
      <c r="F109" s="252"/>
      <c r="S109" s="262"/>
      <c r="T109" s="262"/>
    </row>
    <row r="110" spans="6:20" x14ac:dyDescent="0.25">
      <c r="F110" s="252"/>
      <c r="S110" s="262"/>
      <c r="T110" s="262"/>
    </row>
    <row r="111" spans="6:20" x14ac:dyDescent="0.25">
      <c r="F111" s="252"/>
      <c r="S111" s="262"/>
      <c r="T111" s="262"/>
    </row>
    <row r="112" spans="6:20" x14ac:dyDescent="0.25">
      <c r="F112" s="252"/>
      <c r="S112" s="262"/>
      <c r="T112" s="262"/>
    </row>
    <row r="113" spans="6:20" x14ac:dyDescent="0.25">
      <c r="F113" s="252"/>
      <c r="S113" s="262"/>
      <c r="T113" s="262"/>
    </row>
    <row r="114" spans="6:20" x14ac:dyDescent="0.25">
      <c r="F114" s="252"/>
      <c r="S114" s="262"/>
      <c r="T114" s="262"/>
    </row>
    <row r="115" spans="6:20" x14ac:dyDescent="0.25">
      <c r="F115" s="252"/>
      <c r="S115" s="262"/>
      <c r="T115" s="262"/>
    </row>
    <row r="116" spans="6:20" x14ac:dyDescent="0.25">
      <c r="F116" s="252"/>
      <c r="S116" s="262"/>
      <c r="T116" s="262"/>
    </row>
    <row r="117" spans="6:20" x14ac:dyDescent="0.25">
      <c r="F117" s="252"/>
      <c r="S117" s="262"/>
      <c r="T117" s="262"/>
    </row>
    <row r="118" spans="6:20" x14ac:dyDescent="0.25">
      <c r="F118" s="252"/>
      <c r="S118" s="262"/>
      <c r="T118" s="262"/>
    </row>
    <row r="119" spans="6:20" x14ac:dyDescent="0.25">
      <c r="F119" s="252"/>
      <c r="S119" s="262"/>
      <c r="T119" s="262"/>
    </row>
    <row r="120" spans="6:20" x14ac:dyDescent="0.25">
      <c r="F120" s="252"/>
      <c r="S120" s="262"/>
      <c r="T120" s="262"/>
    </row>
    <row r="121" spans="6:20" x14ac:dyDescent="0.25">
      <c r="F121" s="252"/>
      <c r="S121" s="262"/>
      <c r="T121" s="262"/>
    </row>
    <row r="122" spans="6:20" x14ac:dyDescent="0.25">
      <c r="F122" s="252"/>
      <c r="S122" s="262"/>
      <c r="T122" s="262"/>
    </row>
    <row r="123" spans="6:20" x14ac:dyDescent="0.25">
      <c r="F123" s="252"/>
      <c r="S123" s="262"/>
      <c r="T123" s="262"/>
    </row>
    <row r="124" spans="6:20" x14ac:dyDescent="0.25">
      <c r="F124" s="252"/>
      <c r="S124" s="262"/>
      <c r="T124" s="262"/>
    </row>
    <row r="125" spans="6:20" x14ac:dyDescent="0.25">
      <c r="F125" s="252"/>
      <c r="S125" s="262"/>
      <c r="T125" s="262"/>
    </row>
    <row r="126" spans="6:20" x14ac:dyDescent="0.25">
      <c r="F126" s="252"/>
      <c r="S126" s="262"/>
      <c r="T126" s="262"/>
    </row>
    <row r="127" spans="6:20" x14ac:dyDescent="0.25">
      <c r="F127" s="252"/>
      <c r="S127" s="262"/>
      <c r="T127" s="262"/>
    </row>
    <row r="128" spans="6:20" x14ac:dyDescent="0.25">
      <c r="F128" s="252"/>
      <c r="S128" s="262"/>
      <c r="T128" s="262"/>
    </row>
    <row r="129" spans="6:20" x14ac:dyDescent="0.25">
      <c r="F129" s="252"/>
      <c r="S129" s="262"/>
      <c r="T129" s="262"/>
    </row>
    <row r="130" spans="6:20" x14ac:dyDescent="0.25">
      <c r="F130" s="252"/>
      <c r="S130" s="262"/>
      <c r="T130" s="262"/>
    </row>
    <row r="131" spans="6:20" x14ac:dyDescent="0.25">
      <c r="F131" s="252"/>
    </row>
    <row r="132" spans="6:20" x14ac:dyDescent="0.25">
      <c r="F132" s="252"/>
    </row>
    <row r="133" spans="6:20" x14ac:dyDescent="0.25">
      <c r="F133" s="252"/>
    </row>
    <row r="134" spans="6:20" x14ac:dyDescent="0.25">
      <c r="F134" s="252"/>
    </row>
    <row r="135" spans="6:20" x14ac:dyDescent="0.25">
      <c r="F135" s="252"/>
    </row>
    <row r="136" spans="6:20" x14ac:dyDescent="0.25">
      <c r="F136" s="252"/>
    </row>
    <row r="137" spans="6:20" x14ac:dyDescent="0.25">
      <c r="F137" s="252"/>
    </row>
    <row r="138" spans="6:20" x14ac:dyDescent="0.25">
      <c r="F138" s="252"/>
    </row>
    <row r="139" spans="6:20" x14ac:dyDescent="0.25">
      <c r="F139" s="252"/>
    </row>
    <row r="140" spans="6:20" x14ac:dyDescent="0.25">
      <c r="F140" s="252"/>
    </row>
    <row r="141" spans="6:20" x14ac:dyDescent="0.25">
      <c r="F141" s="252"/>
    </row>
    <row r="142" spans="6:20" x14ac:dyDescent="0.25">
      <c r="F142" s="252"/>
    </row>
    <row r="143" spans="6:20" x14ac:dyDescent="0.25">
      <c r="F143" s="252"/>
    </row>
    <row r="144" spans="6:20" x14ac:dyDescent="0.25">
      <c r="F144" s="252"/>
    </row>
    <row r="145" spans="6:6" x14ac:dyDescent="0.25">
      <c r="F145" s="252"/>
    </row>
    <row r="146" spans="6:6" x14ac:dyDescent="0.25">
      <c r="F146" s="252"/>
    </row>
    <row r="147" spans="6:6" x14ac:dyDescent="0.25">
      <c r="F147" s="252"/>
    </row>
    <row r="148" spans="6:6" x14ac:dyDescent="0.25">
      <c r="F148" s="252"/>
    </row>
    <row r="149" spans="6:6" x14ac:dyDescent="0.25">
      <c r="F149" s="252"/>
    </row>
    <row r="150" spans="6:6" x14ac:dyDescent="0.25">
      <c r="F150" s="252"/>
    </row>
    <row r="151" spans="6:6" x14ac:dyDescent="0.25">
      <c r="F151" s="252"/>
    </row>
    <row r="152" spans="6:6" x14ac:dyDescent="0.25">
      <c r="F152" s="252"/>
    </row>
    <row r="153" spans="6:6" x14ac:dyDescent="0.25">
      <c r="F153" s="252"/>
    </row>
    <row r="154" spans="6:6" x14ac:dyDescent="0.25">
      <c r="F154" s="252"/>
    </row>
    <row r="155" spans="6:6" x14ac:dyDescent="0.25">
      <c r="F155" s="252"/>
    </row>
    <row r="156" spans="6:6" x14ac:dyDescent="0.25">
      <c r="F156" s="252"/>
    </row>
    <row r="157" spans="6:6" x14ac:dyDescent="0.25">
      <c r="F157" s="252"/>
    </row>
    <row r="158" spans="6:6" x14ac:dyDescent="0.25">
      <c r="F158" s="252"/>
    </row>
    <row r="159" spans="6:6" x14ac:dyDescent="0.25">
      <c r="F159" s="252"/>
    </row>
    <row r="160" spans="6:6" x14ac:dyDescent="0.25">
      <c r="F160" s="252"/>
    </row>
    <row r="161" spans="6:6" x14ac:dyDescent="0.25">
      <c r="F161" s="252"/>
    </row>
    <row r="162" spans="6:6" x14ac:dyDescent="0.25">
      <c r="F162" s="252"/>
    </row>
    <row r="163" spans="6:6" x14ac:dyDescent="0.25">
      <c r="F163" s="252"/>
    </row>
    <row r="164" spans="6:6" x14ac:dyDescent="0.25">
      <c r="F164" s="252"/>
    </row>
    <row r="165" spans="6:6" x14ac:dyDescent="0.25">
      <c r="F165" s="252"/>
    </row>
    <row r="166" spans="6:6" x14ac:dyDescent="0.25">
      <c r="F166" s="252"/>
    </row>
    <row r="167" spans="6:6" x14ac:dyDescent="0.25">
      <c r="F167" s="252"/>
    </row>
    <row r="168" spans="6:6" x14ac:dyDescent="0.25">
      <c r="F168" s="252"/>
    </row>
    <row r="169" spans="6:6" x14ac:dyDescent="0.25">
      <c r="F169" s="252"/>
    </row>
    <row r="170" spans="6:6" x14ac:dyDescent="0.25">
      <c r="F170" s="252"/>
    </row>
  </sheetData>
  <mergeCells count="34">
    <mergeCell ref="L6:M6"/>
    <mergeCell ref="N6:O6"/>
    <mergeCell ref="B56:B59"/>
    <mergeCell ref="B60:B63"/>
    <mergeCell ref="U5:U7"/>
    <mergeCell ref="P5:Q6"/>
    <mergeCell ref="T5:T7"/>
    <mergeCell ref="B5:B7"/>
    <mergeCell ref="R5:R7"/>
    <mergeCell ref="G5:G7"/>
    <mergeCell ref="F5:F7"/>
    <mergeCell ref="H5:O5"/>
    <mergeCell ref="S5:S7"/>
    <mergeCell ref="C5:C7"/>
    <mergeCell ref="E5:E7"/>
    <mergeCell ref="H6:I6"/>
    <mergeCell ref="J6:K6"/>
    <mergeCell ref="B68:B70"/>
    <mergeCell ref="B64:B67"/>
    <mergeCell ref="B71:B73"/>
    <mergeCell ref="B17:B22"/>
    <mergeCell ref="D5:D7"/>
    <mergeCell ref="A5:A7"/>
    <mergeCell ref="A43:A73"/>
    <mergeCell ref="A17:A42"/>
    <mergeCell ref="B23:B28"/>
    <mergeCell ref="B29:B33"/>
    <mergeCell ref="B34:B37"/>
    <mergeCell ref="B38:B42"/>
    <mergeCell ref="B43:B48"/>
    <mergeCell ref="B9:B16"/>
    <mergeCell ref="A9:A16"/>
    <mergeCell ref="B49:B51"/>
    <mergeCell ref="B52:B5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73">
      <formula1>$M$1:$AJ$1</formula1>
    </dataValidation>
  </dataValidations>
  <pageMargins left="0.25" right="0.25" top="0.75" bottom="0.75" header="0.3" footer="0.3"/>
  <pageSetup firstPageNumber="15" orientation="landscape" useFirstPageNumber="1" r:id="rId1"/>
  <headerFooter>
    <oddFooter>&amp;R&amp;P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workbookViewId="0">
      <pane ySplit="6" topLeftCell="A7" activePane="bottomLeft" state="frozen"/>
      <selection activeCell="O6" sqref="O6"/>
      <selection pane="bottomLeft" activeCell="C14" sqref="C14"/>
    </sheetView>
  </sheetViews>
  <sheetFormatPr baseColWidth="10" defaultRowHeight="15" x14ac:dyDescent="0.25"/>
  <cols>
    <col min="1" max="1" width="40" customWidth="1"/>
    <col min="2" max="2" width="21.7109375" customWidth="1"/>
    <col min="3" max="3" width="30.5703125" customWidth="1"/>
    <col min="4" max="4" width="30.5703125" style="462" customWidth="1"/>
    <col min="5" max="7" width="27.42578125" customWidth="1"/>
    <col min="8" max="8" width="15.28515625" customWidth="1"/>
    <col min="9" max="9" width="12.14062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18" width="14.140625" hidden="1" customWidth="1"/>
    <col min="19" max="21" width="14.140625" customWidth="1"/>
    <col min="22" max="22" width="17" customWidth="1"/>
  </cols>
  <sheetData>
    <row r="1" spans="1:22" ht="18.75" x14ac:dyDescent="0.25">
      <c r="B1" s="284"/>
      <c r="C1" s="501" t="s">
        <v>1667</v>
      </c>
      <c r="D1" s="284"/>
      <c r="E1" s="284"/>
      <c r="F1" s="284"/>
      <c r="G1" s="284"/>
      <c r="H1" s="284" t="s">
        <v>475</v>
      </c>
      <c r="J1" s="284"/>
      <c r="K1" s="284"/>
      <c r="L1" s="284"/>
      <c r="M1" s="284"/>
      <c r="N1" s="284"/>
      <c r="O1" s="284"/>
      <c r="P1" s="284"/>
      <c r="Q1" s="284"/>
      <c r="R1" s="284"/>
      <c r="S1" s="284"/>
      <c r="T1" s="284"/>
      <c r="U1" s="284"/>
      <c r="V1" s="284"/>
    </row>
    <row r="2" spans="1:22" ht="18.75" x14ac:dyDescent="0.25">
      <c r="A2" s="317" t="s">
        <v>1345</v>
      </c>
      <c r="B2" s="284"/>
      <c r="C2" s="284"/>
      <c r="D2" s="284"/>
      <c r="E2" s="284"/>
      <c r="F2" s="284"/>
      <c r="G2" s="284"/>
      <c r="H2" s="284"/>
      <c r="J2" s="284"/>
      <c r="K2" s="284"/>
      <c r="L2" s="284"/>
      <c r="M2" s="284"/>
      <c r="N2" s="284"/>
      <c r="O2" s="284"/>
      <c r="P2" s="284"/>
      <c r="Q2" s="284"/>
      <c r="R2" s="284"/>
      <c r="S2" s="284"/>
      <c r="T2" s="284"/>
      <c r="U2" s="284"/>
      <c r="V2" s="284"/>
    </row>
    <row r="3" spans="1:22" x14ac:dyDescent="0.25">
      <c r="A3" s="698" t="s">
        <v>1347</v>
      </c>
      <c r="B3" s="698"/>
      <c r="C3" s="698"/>
      <c r="D3" s="698"/>
      <c r="E3" s="698"/>
      <c r="F3" s="698"/>
      <c r="G3" s="698"/>
      <c r="H3" s="698"/>
      <c r="I3" s="698"/>
      <c r="J3" s="698"/>
      <c r="K3" s="698"/>
      <c r="L3" s="698"/>
      <c r="M3" s="698"/>
      <c r="N3" s="698"/>
      <c r="O3" s="698"/>
      <c r="P3" s="698"/>
      <c r="Q3" s="698"/>
      <c r="R3" s="698"/>
      <c r="S3" s="698"/>
      <c r="T3" s="698"/>
      <c r="U3" s="698"/>
      <c r="V3" s="698"/>
    </row>
    <row r="4" spans="1:22" ht="15" customHeight="1" x14ac:dyDescent="0.25">
      <c r="A4" s="666" t="s">
        <v>96</v>
      </c>
      <c r="B4" s="665" t="s">
        <v>110</v>
      </c>
      <c r="C4" s="668" t="s">
        <v>1514</v>
      </c>
      <c r="D4" s="668" t="s">
        <v>1515</v>
      </c>
      <c r="E4" s="668" t="s">
        <v>86</v>
      </c>
      <c r="F4" s="668" t="s">
        <v>390</v>
      </c>
      <c r="G4" s="668" t="s">
        <v>87</v>
      </c>
      <c r="H4" s="671" t="s">
        <v>99</v>
      </c>
      <c r="I4" s="677"/>
      <c r="J4" s="677"/>
      <c r="K4" s="677"/>
      <c r="L4" s="677"/>
      <c r="M4" s="677"/>
      <c r="N4" s="677"/>
      <c r="O4" s="672"/>
      <c r="P4" s="673" t="s">
        <v>100</v>
      </c>
      <c r="Q4" s="674"/>
      <c r="R4" s="665" t="s">
        <v>101</v>
      </c>
      <c r="S4" s="665" t="s">
        <v>102</v>
      </c>
      <c r="T4" s="665" t="s">
        <v>109</v>
      </c>
      <c r="U4" s="665" t="s">
        <v>108</v>
      </c>
      <c r="V4" s="662" t="s">
        <v>88</v>
      </c>
    </row>
    <row r="5" spans="1:22" ht="15" customHeight="1" x14ac:dyDescent="0.25">
      <c r="A5" s="666"/>
      <c r="B5" s="666"/>
      <c r="C5" s="669"/>
      <c r="D5" s="669"/>
      <c r="E5" s="669"/>
      <c r="F5" s="669"/>
      <c r="G5" s="669"/>
      <c r="H5" s="671" t="s">
        <v>103</v>
      </c>
      <c r="I5" s="672"/>
      <c r="J5" s="671" t="s">
        <v>104</v>
      </c>
      <c r="K5" s="672"/>
      <c r="L5" s="671" t="s">
        <v>105</v>
      </c>
      <c r="M5" s="672"/>
      <c r="N5" s="671" t="s">
        <v>106</v>
      </c>
      <c r="O5" s="672"/>
      <c r="P5" s="675"/>
      <c r="Q5" s="676"/>
      <c r="R5" s="666"/>
      <c r="S5" s="666"/>
      <c r="T5" s="666"/>
      <c r="U5" s="666"/>
      <c r="V5" s="663"/>
    </row>
    <row r="6" spans="1:22" ht="25.5" x14ac:dyDescent="0.25">
      <c r="A6" s="667"/>
      <c r="B6" s="667"/>
      <c r="C6" s="670"/>
      <c r="D6" s="670"/>
      <c r="E6" s="670"/>
      <c r="F6" s="670"/>
      <c r="G6" s="670"/>
      <c r="H6" s="438" t="s">
        <v>107</v>
      </c>
      <c r="I6" s="438" t="s">
        <v>12</v>
      </c>
      <c r="J6" s="438" t="s">
        <v>107</v>
      </c>
      <c r="K6" s="438" t="s">
        <v>12</v>
      </c>
      <c r="L6" s="438" t="s">
        <v>107</v>
      </c>
      <c r="M6" s="438" t="s">
        <v>12</v>
      </c>
      <c r="N6" s="438" t="s">
        <v>107</v>
      </c>
      <c r="O6" s="438" t="s">
        <v>12</v>
      </c>
      <c r="P6" s="438" t="s">
        <v>107</v>
      </c>
      <c r="Q6" s="438" t="s">
        <v>12</v>
      </c>
      <c r="R6" s="667"/>
      <c r="S6" s="667"/>
      <c r="T6" s="667"/>
      <c r="U6" s="667"/>
      <c r="V6" s="664"/>
    </row>
    <row r="7" spans="1:22" s="365" customFormat="1" ht="15.75" x14ac:dyDescent="0.25">
      <c r="A7" s="439"/>
      <c r="B7" s="440"/>
      <c r="C7" s="441"/>
      <c r="D7" s="441"/>
      <c r="E7" s="441"/>
      <c r="F7" s="442"/>
      <c r="G7" s="441"/>
      <c r="H7" s="443"/>
      <c r="I7" s="443"/>
      <c r="J7" s="443"/>
      <c r="K7" s="443"/>
      <c r="L7" s="443"/>
      <c r="M7" s="443"/>
      <c r="N7" s="443"/>
      <c r="O7" s="443"/>
      <c r="P7" s="443"/>
      <c r="Q7" s="443"/>
      <c r="R7" s="444"/>
      <c r="S7" s="444"/>
      <c r="T7" s="444"/>
      <c r="U7" s="444"/>
      <c r="V7" s="445"/>
    </row>
    <row r="8" spans="1:22" ht="15.75" x14ac:dyDescent="0.25">
      <c r="A8" s="687" t="s">
        <v>1379</v>
      </c>
      <c r="B8" s="687" t="s">
        <v>1380</v>
      </c>
      <c r="C8" s="324"/>
      <c r="D8" s="487"/>
      <c r="E8" s="324"/>
      <c r="F8" s="364"/>
      <c r="G8" s="249"/>
      <c r="H8" s="250"/>
      <c r="I8" s="230"/>
      <c r="J8" s="250"/>
      <c r="K8" s="230"/>
      <c r="L8" s="250"/>
      <c r="M8" s="230"/>
      <c r="N8" s="250"/>
      <c r="O8" s="230"/>
      <c r="P8" s="381">
        <f t="shared" ref="P8:P20" si="0">H8+J8+L8+N8</f>
        <v>0</v>
      </c>
      <c r="Q8" s="382">
        <f t="shared" ref="Q8:Q20" si="1">I8+K8+M8+O8</f>
        <v>0</v>
      </c>
      <c r="R8" s="249"/>
      <c r="S8" s="249"/>
      <c r="T8" s="249"/>
      <c r="U8" s="249"/>
      <c r="V8" s="249"/>
    </row>
    <row r="9" spans="1:22" ht="15.75" x14ac:dyDescent="0.25">
      <c r="A9" s="688"/>
      <c r="B9" s="688"/>
      <c r="C9" s="324"/>
      <c r="D9" s="487"/>
      <c r="E9" s="324"/>
      <c r="F9" s="364"/>
      <c r="G9" s="249"/>
      <c r="H9" s="250"/>
      <c r="I9" s="230"/>
      <c r="J9" s="250"/>
      <c r="K9" s="230"/>
      <c r="L9" s="250"/>
      <c r="M9" s="230"/>
      <c r="N9" s="250"/>
      <c r="O9" s="230"/>
      <c r="P9" s="381">
        <f t="shared" si="0"/>
        <v>0</v>
      </c>
      <c r="Q9" s="382">
        <f t="shared" si="1"/>
        <v>0</v>
      </c>
      <c r="R9" s="249"/>
      <c r="S9" s="249"/>
      <c r="T9" s="249"/>
      <c r="U9" s="249"/>
      <c r="V9" s="249"/>
    </row>
    <row r="10" spans="1:22" ht="15.75" x14ac:dyDescent="0.25">
      <c r="A10" s="688"/>
      <c r="B10" s="688"/>
      <c r="C10" s="324"/>
      <c r="D10" s="487"/>
      <c r="E10" s="324"/>
      <c r="F10" s="364"/>
      <c r="G10" s="249"/>
      <c r="H10" s="250"/>
      <c r="I10" s="230"/>
      <c r="J10" s="250"/>
      <c r="K10" s="230"/>
      <c r="L10" s="250"/>
      <c r="M10" s="230"/>
      <c r="N10" s="250"/>
      <c r="O10" s="230"/>
      <c r="P10" s="381">
        <f t="shared" si="0"/>
        <v>0</v>
      </c>
      <c r="Q10" s="382">
        <f t="shared" si="1"/>
        <v>0</v>
      </c>
      <c r="R10" s="249"/>
      <c r="S10" s="249"/>
      <c r="T10" s="249"/>
      <c r="U10" s="249"/>
      <c r="V10" s="249"/>
    </row>
    <row r="11" spans="1:22" ht="15.75" x14ac:dyDescent="0.25">
      <c r="A11" s="688"/>
      <c r="B11" s="688"/>
      <c r="C11" s="324"/>
      <c r="D11" s="487"/>
      <c r="E11" s="324"/>
      <c r="F11" s="364"/>
      <c r="G11" s="249"/>
      <c r="H11" s="250"/>
      <c r="I11" s="230"/>
      <c r="J11" s="250"/>
      <c r="K11" s="230"/>
      <c r="L11" s="250"/>
      <c r="M11" s="230"/>
      <c r="N11" s="250"/>
      <c r="O11" s="230"/>
      <c r="P11" s="381">
        <f t="shared" si="0"/>
        <v>0</v>
      </c>
      <c r="Q11" s="382">
        <f t="shared" si="1"/>
        <v>0</v>
      </c>
      <c r="R11" s="249"/>
      <c r="S11" s="249"/>
      <c r="T11" s="249"/>
      <c r="U11" s="249"/>
      <c r="V11" s="249"/>
    </row>
    <row r="12" spans="1:22" ht="15.75" x14ac:dyDescent="0.25">
      <c r="A12" s="688"/>
      <c r="B12" s="688"/>
      <c r="C12" s="324"/>
      <c r="D12" s="487"/>
      <c r="E12" s="324"/>
      <c r="F12" s="364"/>
      <c r="G12" s="249"/>
      <c r="H12" s="250"/>
      <c r="I12" s="230"/>
      <c r="J12" s="250"/>
      <c r="K12" s="230"/>
      <c r="L12" s="250"/>
      <c r="M12" s="230"/>
      <c r="N12" s="250"/>
      <c r="O12" s="230"/>
      <c r="P12" s="381">
        <f t="shared" si="0"/>
        <v>0</v>
      </c>
      <c r="Q12" s="382">
        <f t="shared" si="1"/>
        <v>0</v>
      </c>
      <c r="R12" s="249"/>
      <c r="S12" s="249"/>
      <c r="T12" s="249"/>
      <c r="U12" s="249"/>
      <c r="V12" s="249"/>
    </row>
    <row r="13" spans="1:22" ht="15.75" x14ac:dyDescent="0.25">
      <c r="A13" s="688"/>
      <c r="B13" s="688"/>
      <c r="C13" s="324"/>
      <c r="D13" s="487"/>
      <c r="E13" s="324"/>
      <c r="F13" s="364"/>
      <c r="G13" s="249"/>
      <c r="H13" s="250"/>
      <c r="I13" s="230"/>
      <c r="J13" s="250"/>
      <c r="K13" s="230"/>
      <c r="L13" s="250"/>
      <c r="M13" s="230"/>
      <c r="N13" s="250"/>
      <c r="O13" s="230"/>
      <c r="P13" s="381">
        <f t="shared" si="0"/>
        <v>0</v>
      </c>
      <c r="Q13" s="382">
        <f t="shared" si="1"/>
        <v>0</v>
      </c>
      <c r="R13" s="249"/>
      <c r="S13" s="249"/>
      <c r="T13" s="249"/>
      <c r="U13" s="249"/>
      <c r="V13" s="249"/>
    </row>
    <row r="14" spans="1:22" ht="15.75" x14ac:dyDescent="0.25">
      <c r="A14" s="688"/>
      <c r="B14" s="688"/>
      <c r="C14" s="324"/>
      <c r="D14" s="487"/>
      <c r="E14" s="324"/>
      <c r="F14" s="364"/>
      <c r="G14" s="249"/>
      <c r="H14" s="250"/>
      <c r="I14" s="230"/>
      <c r="J14" s="250"/>
      <c r="K14" s="230"/>
      <c r="L14" s="250"/>
      <c r="M14" s="230"/>
      <c r="N14" s="250"/>
      <c r="O14" s="230"/>
      <c r="P14" s="381">
        <f t="shared" si="0"/>
        <v>0</v>
      </c>
      <c r="Q14" s="382">
        <f t="shared" si="1"/>
        <v>0</v>
      </c>
      <c r="R14" s="249"/>
      <c r="S14" s="249"/>
      <c r="T14" s="249"/>
      <c r="U14" s="249"/>
      <c r="V14" s="249"/>
    </row>
    <row r="15" spans="1:22" ht="15.75" x14ac:dyDescent="0.25">
      <c r="A15" s="688"/>
      <c r="B15" s="688"/>
      <c r="C15" s="324"/>
      <c r="D15" s="487"/>
      <c r="E15" s="324"/>
      <c r="F15" s="364"/>
      <c r="G15" s="249"/>
      <c r="H15" s="250"/>
      <c r="I15" s="230"/>
      <c r="J15" s="250"/>
      <c r="K15" s="230"/>
      <c r="L15" s="250"/>
      <c r="M15" s="230"/>
      <c r="N15" s="250"/>
      <c r="O15" s="230"/>
      <c r="P15" s="381">
        <f t="shared" si="0"/>
        <v>0</v>
      </c>
      <c r="Q15" s="382">
        <f t="shared" si="1"/>
        <v>0</v>
      </c>
      <c r="R15" s="249"/>
      <c r="S15" s="249"/>
      <c r="T15" s="249"/>
      <c r="U15" s="249"/>
      <c r="V15" s="249"/>
    </row>
    <row r="16" spans="1:22" ht="15.75" x14ac:dyDescent="0.25">
      <c r="A16" s="688"/>
      <c r="B16" s="688"/>
      <c r="C16" s="324"/>
      <c r="D16" s="487"/>
      <c r="E16" s="324"/>
      <c r="F16" s="364"/>
      <c r="G16" s="249"/>
      <c r="H16" s="250"/>
      <c r="I16" s="230"/>
      <c r="J16" s="250"/>
      <c r="K16" s="230"/>
      <c r="L16" s="250"/>
      <c r="M16" s="230"/>
      <c r="N16" s="250"/>
      <c r="O16" s="230"/>
      <c r="P16" s="381">
        <f t="shared" si="0"/>
        <v>0</v>
      </c>
      <c r="Q16" s="382">
        <f t="shared" si="1"/>
        <v>0</v>
      </c>
      <c r="R16" s="249"/>
      <c r="S16" s="249"/>
      <c r="T16" s="249"/>
      <c r="U16" s="249"/>
      <c r="V16" s="249"/>
    </row>
    <row r="17" spans="1:22" ht="15.75" x14ac:dyDescent="0.25">
      <c r="A17" s="688"/>
      <c r="B17" s="688"/>
      <c r="C17" s="324"/>
      <c r="D17" s="487"/>
      <c r="E17" s="324"/>
      <c r="F17" s="364"/>
      <c r="G17" s="254"/>
      <c r="H17" s="254"/>
      <c r="I17" s="270"/>
      <c r="J17" s="254"/>
      <c r="K17" s="270"/>
      <c r="L17" s="254"/>
      <c r="M17" s="270"/>
      <c r="N17" s="254"/>
      <c r="O17" s="270"/>
      <c r="P17" s="389">
        <f t="shared" si="0"/>
        <v>0</v>
      </c>
      <c r="Q17" s="390">
        <f t="shared" si="1"/>
        <v>0</v>
      </c>
      <c r="R17" s="254"/>
      <c r="S17" s="254"/>
      <c r="T17" s="254"/>
      <c r="U17" s="254"/>
      <c r="V17" s="254"/>
    </row>
    <row r="18" spans="1:22" ht="15.75" x14ac:dyDescent="0.25">
      <c r="A18" s="688"/>
      <c r="B18" s="688"/>
      <c r="C18" s="324"/>
      <c r="D18" s="487"/>
      <c r="E18" s="324"/>
      <c r="F18" s="364"/>
      <c r="G18" s="249"/>
      <c r="H18" s="249"/>
      <c r="I18" s="230"/>
      <c r="J18" s="249"/>
      <c r="K18" s="230"/>
      <c r="L18" s="249"/>
      <c r="M18" s="230"/>
      <c r="N18" s="249"/>
      <c r="O18" s="230"/>
      <c r="P18" s="381">
        <f t="shared" si="0"/>
        <v>0</v>
      </c>
      <c r="Q18" s="382">
        <f t="shared" si="1"/>
        <v>0</v>
      </c>
      <c r="R18" s="271"/>
      <c r="S18" s="271"/>
      <c r="T18" s="271"/>
      <c r="U18" s="249"/>
      <c r="V18" s="272"/>
    </row>
    <row r="19" spans="1:22" ht="15.75" x14ac:dyDescent="0.25">
      <c r="A19" s="688"/>
      <c r="B19" s="688"/>
      <c r="C19" s="324"/>
      <c r="D19" s="487"/>
      <c r="E19" s="324"/>
      <c r="F19" s="364"/>
      <c r="G19" s="254"/>
      <c r="H19" s="254"/>
      <c r="I19" s="270"/>
      <c r="J19" s="254"/>
      <c r="K19" s="270"/>
      <c r="L19" s="254"/>
      <c r="M19" s="270"/>
      <c r="N19" s="254"/>
      <c r="O19" s="270"/>
      <c r="P19" s="389">
        <f t="shared" si="0"/>
        <v>0</v>
      </c>
      <c r="Q19" s="390">
        <f t="shared" si="1"/>
        <v>0</v>
      </c>
      <c r="R19" s="254"/>
      <c r="S19" s="254"/>
      <c r="T19" s="254"/>
      <c r="U19" s="254"/>
      <c r="V19" s="254"/>
    </row>
    <row r="20" spans="1:22" ht="15.75" x14ac:dyDescent="0.25">
      <c r="A20" s="689"/>
      <c r="B20" s="689"/>
      <c r="C20" s="324"/>
      <c r="D20" s="487"/>
      <c r="E20" s="324"/>
      <c r="F20" s="364"/>
      <c r="G20" s="249"/>
      <c r="H20" s="250"/>
      <c r="I20" s="230"/>
      <c r="J20" s="250"/>
      <c r="K20" s="230"/>
      <c r="L20" s="250"/>
      <c r="M20" s="230"/>
      <c r="N20" s="249"/>
      <c r="O20" s="230"/>
      <c r="P20" s="381">
        <f t="shared" si="0"/>
        <v>0</v>
      </c>
      <c r="Q20" s="382">
        <f t="shared" si="1"/>
        <v>0</v>
      </c>
      <c r="R20" s="249"/>
      <c r="S20" s="249"/>
      <c r="T20" s="249"/>
      <c r="U20" s="249"/>
      <c r="V20" s="249"/>
    </row>
    <row r="21" spans="1:22" ht="15.75" x14ac:dyDescent="0.25">
      <c r="A21" s="291"/>
      <c r="B21" s="292"/>
      <c r="C21" s="291" t="s">
        <v>1381</v>
      </c>
      <c r="D21" s="292"/>
      <c r="E21" s="292"/>
      <c r="F21" s="292"/>
      <c r="G21" s="293"/>
      <c r="H21" s="263">
        <f t="shared" ref="H21:Q21" si="2">SUM(H8:H20)</f>
        <v>0</v>
      </c>
      <c r="I21" s="273">
        <f t="shared" si="2"/>
        <v>0</v>
      </c>
      <c r="J21" s="263">
        <f t="shared" si="2"/>
        <v>0</v>
      </c>
      <c r="K21" s="273">
        <f t="shared" si="2"/>
        <v>0</v>
      </c>
      <c r="L21" s="263">
        <f t="shared" si="2"/>
        <v>0</v>
      </c>
      <c r="M21" s="273">
        <f t="shared" si="2"/>
        <v>0</v>
      </c>
      <c r="N21" s="263">
        <f t="shared" si="2"/>
        <v>0</v>
      </c>
      <c r="O21" s="273">
        <f t="shared" si="2"/>
        <v>0</v>
      </c>
      <c r="P21" s="273">
        <f t="shared" si="2"/>
        <v>0</v>
      </c>
      <c r="Q21" s="273">
        <f t="shared" si="2"/>
        <v>0</v>
      </c>
      <c r="R21" s="264"/>
      <c r="S21" s="264"/>
      <c r="T21" s="264"/>
      <c r="U21" s="264"/>
      <c r="V21" s="264"/>
    </row>
    <row r="26" spans="1:22" x14ac:dyDescent="0.25">
      <c r="I26"/>
      <c r="K26"/>
      <c r="M26"/>
      <c r="O26"/>
      <c r="Q26"/>
    </row>
    <row r="27" spans="1:22" x14ac:dyDescent="0.25">
      <c r="I27"/>
      <c r="K27"/>
      <c r="M27"/>
      <c r="O27"/>
      <c r="Q27"/>
    </row>
    <row r="28" spans="1:22" x14ac:dyDescent="0.25">
      <c r="I28"/>
      <c r="K28"/>
      <c r="M28"/>
      <c r="O28"/>
      <c r="Q28"/>
    </row>
    <row r="29" spans="1:22" x14ac:dyDescent="0.25">
      <c r="I29"/>
      <c r="K29"/>
      <c r="M29"/>
      <c r="O29"/>
      <c r="Q29"/>
    </row>
    <row r="30" spans="1:22" x14ac:dyDescent="0.25">
      <c r="I30"/>
      <c r="K30"/>
      <c r="M30"/>
      <c r="O30"/>
      <c r="Q30"/>
    </row>
    <row r="31" spans="1:22" x14ac:dyDescent="0.25">
      <c r="I31"/>
      <c r="K31"/>
      <c r="M31"/>
      <c r="O31"/>
      <c r="Q31"/>
    </row>
    <row r="32" spans="1:22"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ht="15.6" customHeight="1" x14ac:dyDescent="0.25">
      <c r="I56"/>
      <c r="K56"/>
      <c r="M56"/>
      <c r="O56"/>
      <c r="Q56"/>
    </row>
  </sheetData>
  <mergeCells count="21">
    <mergeCell ref="A8:A20"/>
    <mergeCell ref="H5:I5"/>
    <mergeCell ref="B8:B20"/>
    <mergeCell ref="H4:O4"/>
    <mergeCell ref="P4:Q5"/>
    <mergeCell ref="A3:V3"/>
    <mergeCell ref="S4:S6"/>
    <mergeCell ref="T4:T6"/>
    <mergeCell ref="U4:U6"/>
    <mergeCell ref="V4:V6"/>
    <mergeCell ref="F4:F6"/>
    <mergeCell ref="A4:A6"/>
    <mergeCell ref="B4:B6"/>
    <mergeCell ref="C4:C6"/>
    <mergeCell ref="E4:E6"/>
    <mergeCell ref="G4:G6"/>
    <mergeCell ref="R4:R6"/>
    <mergeCell ref="L5:M5"/>
    <mergeCell ref="N5:O5"/>
    <mergeCell ref="J5:K5"/>
    <mergeCell ref="D4:D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showInputMessage="1" showErrorMessage="1" sqref="C8:C20">
      <formula1>$C$1</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9"/>
  <sheetViews>
    <sheetView zoomScale="90" zoomScaleNormal="90" workbookViewId="0">
      <pane ySplit="8" topLeftCell="A9" activePane="bottomLeft" state="frozen"/>
      <selection activeCell="A7" sqref="A7"/>
      <selection pane="bottomLeft" activeCell="D1" sqref="D1"/>
    </sheetView>
  </sheetViews>
  <sheetFormatPr baseColWidth="10" defaultRowHeight="15" x14ac:dyDescent="0.25"/>
  <cols>
    <col min="1" max="1" width="21.7109375" customWidth="1"/>
    <col min="2" max="2" width="41.42578125" customWidth="1"/>
    <col min="3" max="3" width="27.42578125" customWidth="1"/>
    <col min="4" max="4" width="27.42578125" style="462"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2.140625" style="233" bestFit="1" customWidth="1"/>
    <col min="15" max="15" width="12.140625" style="233" bestFit="1" customWidth="1"/>
    <col min="16" max="16" width="15.28515625" style="394" customWidth="1"/>
    <col min="17" max="17" width="18.28515625" style="395" customWidth="1"/>
    <col min="18" max="20" width="14.140625" customWidth="1"/>
    <col min="21" max="21" width="17" customWidth="1"/>
  </cols>
  <sheetData>
    <row r="1" spans="1:33" ht="18.75" x14ac:dyDescent="0.25">
      <c r="C1" s="502" t="s">
        <v>1578</v>
      </c>
      <c r="D1" s="502" t="s">
        <v>1579</v>
      </c>
      <c r="H1" s="284" t="s">
        <v>1382</v>
      </c>
      <c r="J1" s="284"/>
      <c r="K1" s="284"/>
      <c r="M1" s="502" t="s">
        <v>1557</v>
      </c>
      <c r="N1" s="502" t="s">
        <v>1558</v>
      </c>
      <c r="O1" s="502" t="s">
        <v>1559</v>
      </c>
      <c r="P1" s="502" t="s">
        <v>1560</v>
      </c>
      <c r="Q1" s="502" t="s">
        <v>1561</v>
      </c>
      <c r="R1" s="502" t="s">
        <v>1562</v>
      </c>
      <c r="S1" s="502" t="s">
        <v>1563</v>
      </c>
      <c r="T1" s="502" t="s">
        <v>1564</v>
      </c>
      <c r="U1" s="502" t="s">
        <v>1565</v>
      </c>
      <c r="V1" s="502" t="s">
        <v>1566</v>
      </c>
      <c r="W1" s="502" t="s">
        <v>1567</v>
      </c>
      <c r="X1" s="502" t="s">
        <v>1568</v>
      </c>
      <c r="Y1" s="502" t="s">
        <v>1569</v>
      </c>
      <c r="Z1" s="502" t="s">
        <v>1570</v>
      </c>
      <c r="AA1" s="502" t="s">
        <v>1571</v>
      </c>
      <c r="AB1" s="502" t="s">
        <v>1572</v>
      </c>
      <c r="AC1" s="502" t="s">
        <v>1573</v>
      </c>
      <c r="AD1" s="502" t="s">
        <v>1574</v>
      </c>
      <c r="AE1" s="502" t="s">
        <v>1575</v>
      </c>
      <c r="AF1" s="502" t="s">
        <v>1576</v>
      </c>
      <c r="AG1" s="502" t="s">
        <v>1577</v>
      </c>
    </row>
    <row r="2" spans="1:33" ht="18.75" x14ac:dyDescent="0.25">
      <c r="A2" s="314" t="s">
        <v>1345</v>
      </c>
      <c r="H2" s="284"/>
      <c r="J2" s="284"/>
      <c r="K2" s="284"/>
      <c r="L2" s="284"/>
      <c r="M2" s="284"/>
      <c r="N2" s="284"/>
      <c r="O2" s="284"/>
      <c r="P2" s="391"/>
      <c r="Q2" s="391"/>
      <c r="R2" s="284"/>
      <c r="S2" s="284"/>
      <c r="T2" s="284"/>
      <c r="U2" s="284"/>
      <c r="V2" s="284"/>
      <c r="W2" s="284"/>
      <c r="X2" s="284"/>
      <c r="Y2" s="284"/>
      <c r="Z2" s="284"/>
      <c r="AA2" s="284"/>
    </row>
    <row r="3" spans="1:33" ht="18.75" x14ac:dyDescent="0.25">
      <c r="A3" s="315" t="s">
        <v>1390</v>
      </c>
      <c r="H3" s="284"/>
      <c r="J3" s="284"/>
      <c r="K3" s="284"/>
      <c r="L3" s="284"/>
      <c r="M3" s="284"/>
      <c r="N3" s="284"/>
      <c r="O3" s="284"/>
      <c r="P3" s="391"/>
      <c r="Q3" s="391"/>
      <c r="R3" s="284"/>
      <c r="S3" s="284"/>
      <c r="T3" s="284"/>
      <c r="U3" s="284"/>
      <c r="V3" s="284"/>
      <c r="W3" s="284"/>
      <c r="X3" s="284"/>
      <c r="Y3" s="284"/>
      <c r="Z3" s="284"/>
      <c r="AA3" s="284"/>
    </row>
    <row r="4" spans="1:33" ht="18.75" x14ac:dyDescent="0.25">
      <c r="A4" s="315" t="s">
        <v>1389</v>
      </c>
      <c r="H4" s="284"/>
      <c r="J4" s="284"/>
      <c r="K4" s="284"/>
      <c r="L4" s="284"/>
      <c r="M4" s="284"/>
      <c r="N4" s="284"/>
      <c r="O4" s="284"/>
      <c r="P4" s="391"/>
      <c r="Q4" s="391"/>
      <c r="R4" s="284"/>
      <c r="S4" s="284"/>
      <c r="T4" s="284"/>
      <c r="U4" s="284"/>
      <c r="V4" s="284"/>
      <c r="W4" s="284"/>
      <c r="X4" s="284"/>
      <c r="Y4" s="284"/>
      <c r="Z4" s="284"/>
      <c r="AA4" s="284"/>
    </row>
    <row r="5" spans="1:33" x14ac:dyDescent="0.25">
      <c r="A5" s="288" t="s">
        <v>1392</v>
      </c>
      <c r="B5" s="269"/>
      <c r="C5" s="269"/>
      <c r="D5" s="269"/>
      <c r="E5" s="269"/>
      <c r="F5" s="269"/>
      <c r="G5" s="269"/>
      <c r="H5" s="269"/>
      <c r="I5" s="269"/>
      <c r="J5" s="269"/>
      <c r="K5" s="269"/>
      <c r="L5" s="269"/>
      <c r="M5" s="269"/>
      <c r="N5" s="269"/>
      <c r="O5" s="269"/>
      <c r="P5" s="392"/>
      <c r="Q5" s="392"/>
      <c r="R5" s="269"/>
      <c r="S5" s="269"/>
      <c r="T5" s="269"/>
      <c r="U5" s="269"/>
    </row>
    <row r="6" spans="1:33" ht="15" customHeight="1" x14ac:dyDescent="0.25">
      <c r="A6" s="666" t="s">
        <v>96</v>
      </c>
      <c r="B6" s="665" t="s">
        <v>110</v>
      </c>
      <c r="C6" s="668" t="s">
        <v>1514</v>
      </c>
      <c r="D6" s="668" t="s">
        <v>1515</v>
      </c>
      <c r="E6" s="668" t="s">
        <v>86</v>
      </c>
      <c r="F6" s="668" t="s">
        <v>390</v>
      </c>
      <c r="G6" s="668" t="s">
        <v>87</v>
      </c>
      <c r="H6" s="671" t="s">
        <v>99</v>
      </c>
      <c r="I6" s="677"/>
      <c r="J6" s="677"/>
      <c r="K6" s="677"/>
      <c r="L6" s="677"/>
      <c r="M6" s="677"/>
      <c r="N6" s="677"/>
      <c r="O6" s="672"/>
      <c r="P6" s="673" t="s">
        <v>100</v>
      </c>
      <c r="Q6" s="674"/>
      <c r="R6" s="665" t="s">
        <v>102</v>
      </c>
      <c r="S6" s="665" t="s">
        <v>109</v>
      </c>
      <c r="T6" s="665" t="s">
        <v>108</v>
      </c>
      <c r="U6" s="662" t="s">
        <v>88</v>
      </c>
    </row>
    <row r="7" spans="1:33" ht="15" customHeight="1" x14ac:dyDescent="0.25">
      <c r="A7" s="666"/>
      <c r="B7" s="666"/>
      <c r="C7" s="669"/>
      <c r="D7" s="669"/>
      <c r="E7" s="669"/>
      <c r="F7" s="669"/>
      <c r="G7" s="669"/>
      <c r="H7" s="671" t="s">
        <v>103</v>
      </c>
      <c r="I7" s="672"/>
      <c r="J7" s="671" t="s">
        <v>104</v>
      </c>
      <c r="K7" s="672"/>
      <c r="L7" s="671" t="s">
        <v>105</v>
      </c>
      <c r="M7" s="672"/>
      <c r="N7" s="671" t="s">
        <v>106</v>
      </c>
      <c r="O7" s="672"/>
      <c r="P7" s="675"/>
      <c r="Q7" s="676"/>
      <c r="R7" s="666"/>
      <c r="S7" s="666"/>
      <c r="T7" s="666"/>
      <c r="U7" s="663"/>
    </row>
    <row r="8" spans="1:33" ht="25.5" x14ac:dyDescent="0.25">
      <c r="A8" s="667"/>
      <c r="B8" s="667"/>
      <c r="C8" s="670"/>
      <c r="D8" s="670"/>
      <c r="E8" s="670"/>
      <c r="F8" s="670"/>
      <c r="G8" s="670"/>
      <c r="H8" s="438" t="s">
        <v>107</v>
      </c>
      <c r="I8" s="438" t="s">
        <v>12</v>
      </c>
      <c r="J8" s="438" t="s">
        <v>107</v>
      </c>
      <c r="K8" s="438" t="s">
        <v>12</v>
      </c>
      <c r="L8" s="438" t="s">
        <v>107</v>
      </c>
      <c r="M8" s="438" t="s">
        <v>12</v>
      </c>
      <c r="N8" s="438" t="s">
        <v>107</v>
      </c>
      <c r="O8" s="438" t="s">
        <v>12</v>
      </c>
      <c r="P8" s="438" t="s">
        <v>107</v>
      </c>
      <c r="Q8" s="438" t="s">
        <v>12</v>
      </c>
      <c r="R8" s="667"/>
      <c r="S8" s="667"/>
      <c r="T8" s="667"/>
      <c r="U8" s="664"/>
    </row>
    <row r="9" spans="1:33" s="365" customFormat="1" ht="15.75" x14ac:dyDescent="0.25">
      <c r="A9" s="439"/>
      <c r="B9" s="440"/>
      <c r="C9" s="441"/>
      <c r="D9" s="441"/>
      <c r="E9" s="441"/>
      <c r="F9" s="442"/>
      <c r="G9" s="441"/>
      <c r="H9" s="443"/>
      <c r="I9" s="443"/>
      <c r="J9" s="443"/>
      <c r="K9" s="443"/>
      <c r="L9" s="443"/>
      <c r="M9" s="443"/>
      <c r="N9" s="443"/>
      <c r="O9" s="443"/>
      <c r="P9" s="443"/>
      <c r="Q9" s="443"/>
      <c r="R9" s="444"/>
      <c r="S9" s="444"/>
      <c r="T9" s="444"/>
      <c r="U9" s="445"/>
    </row>
    <row r="10" spans="1:33" ht="15.75" x14ac:dyDescent="0.25">
      <c r="A10" s="687" t="s">
        <v>1383</v>
      </c>
      <c r="B10" s="687" t="s">
        <v>1384</v>
      </c>
      <c r="C10" s="249"/>
      <c r="D10" s="249"/>
      <c r="E10" s="249"/>
      <c r="F10" s="249"/>
      <c r="G10" s="254"/>
      <c r="H10" s="254"/>
      <c r="I10" s="270"/>
      <c r="J10" s="254"/>
      <c r="K10" s="270"/>
      <c r="L10" s="254"/>
      <c r="M10" s="270"/>
      <c r="N10" s="254"/>
      <c r="O10" s="270"/>
      <c r="P10" s="389">
        <f t="shared" ref="P10:P29" si="0">H10+J10+L10+N10</f>
        <v>0</v>
      </c>
      <c r="Q10" s="390">
        <f t="shared" ref="Q10:Q29" si="1">I10+K10+M10+O10</f>
        <v>0</v>
      </c>
      <c r="R10" s="254"/>
      <c r="S10" s="254"/>
      <c r="T10" s="254"/>
      <c r="U10" s="73"/>
    </row>
    <row r="11" spans="1:33" ht="15.75" x14ac:dyDescent="0.25">
      <c r="A11" s="688"/>
      <c r="B11" s="688"/>
      <c r="C11" s="249"/>
      <c r="D11" s="249"/>
      <c r="E11" s="249"/>
      <c r="F11" s="249"/>
      <c r="G11" s="254"/>
      <c r="H11" s="254"/>
      <c r="I11" s="270"/>
      <c r="J11" s="254"/>
      <c r="K11" s="270"/>
      <c r="L11" s="254"/>
      <c r="M11" s="270"/>
      <c r="N11" s="254"/>
      <c r="O11" s="270"/>
      <c r="P11" s="389">
        <f t="shared" si="0"/>
        <v>0</v>
      </c>
      <c r="Q11" s="390">
        <f t="shared" si="1"/>
        <v>0</v>
      </c>
      <c r="R11" s="254"/>
      <c r="S11" s="254"/>
      <c r="T11" s="254"/>
      <c r="U11" s="73"/>
    </row>
    <row r="12" spans="1:33" ht="15.75" x14ac:dyDescent="0.25">
      <c r="A12" s="688"/>
      <c r="B12" s="688"/>
      <c r="C12" s="249"/>
      <c r="D12" s="249"/>
      <c r="E12" s="249"/>
      <c r="F12" s="249"/>
      <c r="G12" s="254"/>
      <c r="H12" s="254"/>
      <c r="I12" s="270"/>
      <c r="J12" s="254"/>
      <c r="K12" s="270"/>
      <c r="L12" s="254"/>
      <c r="M12" s="270"/>
      <c r="N12" s="254"/>
      <c r="O12" s="270"/>
      <c r="P12" s="389">
        <f t="shared" si="0"/>
        <v>0</v>
      </c>
      <c r="Q12" s="390">
        <f t="shared" si="1"/>
        <v>0</v>
      </c>
      <c r="R12" s="254"/>
      <c r="S12" s="254"/>
      <c r="T12" s="254"/>
      <c r="U12" s="73"/>
    </row>
    <row r="13" spans="1:33" ht="15.75" x14ac:dyDescent="0.25">
      <c r="A13" s="688"/>
      <c r="B13" s="688"/>
      <c r="C13" s="249"/>
      <c r="D13" s="249"/>
      <c r="E13" s="249"/>
      <c r="F13" s="249"/>
      <c r="G13" s="254"/>
      <c r="H13" s="254"/>
      <c r="I13" s="270"/>
      <c r="J13" s="254"/>
      <c r="K13" s="270"/>
      <c r="L13" s="254"/>
      <c r="M13" s="270"/>
      <c r="N13" s="254"/>
      <c r="O13" s="270"/>
      <c r="P13" s="389">
        <f t="shared" si="0"/>
        <v>0</v>
      </c>
      <c r="Q13" s="390">
        <f t="shared" si="1"/>
        <v>0</v>
      </c>
      <c r="R13" s="254"/>
      <c r="S13" s="254"/>
      <c r="T13" s="254"/>
      <c r="U13" s="73"/>
    </row>
    <row r="14" spans="1:33" ht="15.75" x14ac:dyDescent="0.25">
      <c r="A14" s="688"/>
      <c r="B14" s="688"/>
      <c r="C14" s="249"/>
      <c r="D14" s="249"/>
      <c r="E14" s="249"/>
      <c r="F14" s="249"/>
      <c r="G14" s="254"/>
      <c r="H14" s="254"/>
      <c r="I14" s="270"/>
      <c r="J14" s="254"/>
      <c r="K14" s="270"/>
      <c r="L14" s="254"/>
      <c r="M14" s="270"/>
      <c r="N14" s="254"/>
      <c r="O14" s="270"/>
      <c r="P14" s="389">
        <f t="shared" si="0"/>
        <v>0</v>
      </c>
      <c r="Q14" s="390">
        <f t="shared" si="1"/>
        <v>0</v>
      </c>
      <c r="R14" s="254"/>
      <c r="S14" s="254"/>
      <c r="T14" s="254"/>
      <c r="U14" s="73"/>
    </row>
    <row r="15" spans="1:33" ht="15.75" x14ac:dyDescent="0.25">
      <c r="A15" s="688"/>
      <c r="B15" s="689"/>
      <c r="C15" s="249"/>
      <c r="D15" s="249"/>
      <c r="E15" s="249"/>
      <c r="F15" s="249"/>
      <c r="G15" s="254"/>
      <c r="H15" s="254"/>
      <c r="I15" s="270"/>
      <c r="J15" s="254"/>
      <c r="K15" s="270"/>
      <c r="L15" s="254"/>
      <c r="M15" s="270"/>
      <c r="N15" s="254"/>
      <c r="O15" s="270"/>
      <c r="P15" s="389">
        <f t="shared" si="0"/>
        <v>0</v>
      </c>
      <c r="Q15" s="390">
        <f t="shared" si="1"/>
        <v>0</v>
      </c>
      <c r="R15" s="254"/>
      <c r="S15" s="254"/>
      <c r="T15" s="254"/>
      <c r="U15" s="73"/>
    </row>
    <row r="16" spans="1:33" ht="15.75" x14ac:dyDescent="0.25">
      <c r="A16" s="688"/>
      <c r="B16" s="687" t="s">
        <v>1386</v>
      </c>
      <c r="C16" s="249"/>
      <c r="D16" s="249"/>
      <c r="E16" s="249"/>
      <c r="F16" s="249"/>
      <c r="G16" s="254"/>
      <c r="H16" s="254"/>
      <c r="I16" s="270"/>
      <c r="J16" s="254"/>
      <c r="K16" s="270"/>
      <c r="L16" s="254"/>
      <c r="M16" s="270"/>
      <c r="N16" s="254"/>
      <c r="O16" s="270"/>
      <c r="P16" s="389">
        <f t="shared" si="0"/>
        <v>0</v>
      </c>
      <c r="Q16" s="390">
        <f t="shared" si="1"/>
        <v>0</v>
      </c>
      <c r="R16" s="254"/>
      <c r="S16" s="254"/>
      <c r="T16" s="254"/>
      <c r="U16" s="73"/>
    </row>
    <row r="17" spans="1:21" ht="15.75" x14ac:dyDescent="0.25">
      <c r="A17" s="688"/>
      <c r="B17" s="688"/>
      <c r="C17" s="249"/>
      <c r="D17" s="249"/>
      <c r="E17" s="249"/>
      <c r="F17" s="249"/>
      <c r="G17" s="254"/>
      <c r="H17" s="254"/>
      <c r="I17" s="270"/>
      <c r="J17" s="254"/>
      <c r="K17" s="270"/>
      <c r="L17" s="254"/>
      <c r="M17" s="270"/>
      <c r="N17" s="254"/>
      <c r="O17" s="270"/>
      <c r="P17" s="389">
        <f t="shared" si="0"/>
        <v>0</v>
      </c>
      <c r="Q17" s="390">
        <f t="shared" si="1"/>
        <v>0</v>
      </c>
      <c r="R17" s="254"/>
      <c r="S17" s="254"/>
      <c r="T17" s="254"/>
      <c r="U17" s="73"/>
    </row>
    <row r="18" spans="1:21" ht="15.75" x14ac:dyDescent="0.25">
      <c r="A18" s="688"/>
      <c r="B18" s="688"/>
      <c r="C18" s="249"/>
      <c r="D18" s="249"/>
      <c r="E18" s="249"/>
      <c r="F18" s="249"/>
      <c r="G18" s="254"/>
      <c r="H18" s="254"/>
      <c r="I18" s="270"/>
      <c r="J18" s="254"/>
      <c r="K18" s="270"/>
      <c r="L18" s="254"/>
      <c r="M18" s="270"/>
      <c r="N18" s="254"/>
      <c r="O18" s="270"/>
      <c r="P18" s="389">
        <f t="shared" si="0"/>
        <v>0</v>
      </c>
      <c r="Q18" s="390">
        <f t="shared" si="1"/>
        <v>0</v>
      </c>
      <c r="R18" s="254"/>
      <c r="S18" s="254"/>
      <c r="T18" s="254"/>
      <c r="U18" s="73"/>
    </row>
    <row r="19" spans="1:21" ht="15.75" x14ac:dyDescent="0.25">
      <c r="A19" s="688"/>
      <c r="B19" s="688"/>
      <c r="C19" s="249"/>
      <c r="D19" s="249"/>
      <c r="E19" s="249"/>
      <c r="F19" s="249"/>
      <c r="G19" s="254"/>
      <c r="H19" s="254"/>
      <c r="I19" s="270"/>
      <c r="J19" s="254"/>
      <c r="K19" s="270"/>
      <c r="L19" s="254"/>
      <c r="M19" s="270"/>
      <c r="N19" s="254"/>
      <c r="O19" s="270"/>
      <c r="P19" s="389">
        <f t="shared" si="0"/>
        <v>0</v>
      </c>
      <c r="Q19" s="390">
        <f t="shared" si="1"/>
        <v>0</v>
      </c>
      <c r="R19" s="254"/>
      <c r="S19" s="254"/>
      <c r="T19" s="254"/>
      <c r="U19" s="73"/>
    </row>
    <row r="20" spans="1:21" ht="15.75" x14ac:dyDescent="0.25">
      <c r="A20" s="688"/>
      <c r="B20" s="689"/>
      <c r="C20" s="249"/>
      <c r="D20" s="249"/>
      <c r="E20" s="249"/>
      <c r="F20" s="249"/>
      <c r="G20" s="249"/>
      <c r="H20" s="249"/>
      <c r="I20" s="230"/>
      <c r="J20" s="249"/>
      <c r="K20" s="230"/>
      <c r="L20" s="249"/>
      <c r="M20" s="230"/>
      <c r="N20" s="249"/>
      <c r="O20" s="230"/>
      <c r="P20" s="381">
        <f t="shared" si="0"/>
        <v>0</v>
      </c>
      <c r="Q20" s="382">
        <f t="shared" si="1"/>
        <v>0</v>
      </c>
      <c r="R20" s="249"/>
      <c r="S20" s="249"/>
      <c r="T20" s="249"/>
      <c r="U20" s="325"/>
    </row>
    <row r="21" spans="1:21" ht="15.75" x14ac:dyDescent="0.25">
      <c r="A21" s="688"/>
      <c r="B21" s="687" t="s">
        <v>1387</v>
      </c>
      <c r="C21" s="249"/>
      <c r="D21" s="249"/>
      <c r="E21" s="249"/>
      <c r="F21" s="249"/>
      <c r="G21" s="254"/>
      <c r="H21" s="250"/>
      <c r="I21" s="352"/>
      <c r="J21" s="250"/>
      <c r="K21" s="352"/>
      <c r="L21" s="250"/>
      <c r="M21" s="230"/>
      <c r="N21" s="249"/>
      <c r="O21" s="230"/>
      <c r="P21" s="381">
        <f t="shared" si="0"/>
        <v>0</v>
      </c>
      <c r="Q21" s="393">
        <f t="shared" si="1"/>
        <v>0</v>
      </c>
      <c r="R21" s="249"/>
      <c r="S21" s="249"/>
      <c r="T21" s="249"/>
      <c r="U21" s="249"/>
    </row>
    <row r="22" spans="1:21" ht="15.75" x14ac:dyDescent="0.25">
      <c r="A22" s="688"/>
      <c r="B22" s="688"/>
      <c r="C22" s="249"/>
      <c r="D22" s="249"/>
      <c r="E22" s="249"/>
      <c r="F22" s="249"/>
      <c r="G22" s="254"/>
      <c r="H22" s="250"/>
      <c r="I22" s="352"/>
      <c r="J22" s="250"/>
      <c r="K22" s="352"/>
      <c r="L22" s="250"/>
      <c r="M22" s="230"/>
      <c r="N22" s="249"/>
      <c r="O22" s="230"/>
      <c r="P22" s="381">
        <f t="shared" si="0"/>
        <v>0</v>
      </c>
      <c r="Q22" s="393">
        <f t="shared" si="1"/>
        <v>0</v>
      </c>
      <c r="R22" s="249"/>
      <c r="S22" s="249"/>
      <c r="T22" s="249"/>
      <c r="U22" s="249"/>
    </row>
    <row r="23" spans="1:21" ht="15.75" x14ac:dyDescent="0.25">
      <c r="A23" s="688"/>
      <c r="B23" s="688"/>
      <c r="C23" s="249"/>
      <c r="D23" s="249"/>
      <c r="E23" s="249"/>
      <c r="F23" s="249"/>
      <c r="G23" s="254"/>
      <c r="H23" s="250"/>
      <c r="I23" s="352"/>
      <c r="J23" s="250"/>
      <c r="K23" s="352"/>
      <c r="L23" s="250"/>
      <c r="M23" s="230"/>
      <c r="N23" s="249"/>
      <c r="O23" s="230"/>
      <c r="P23" s="381">
        <f t="shared" si="0"/>
        <v>0</v>
      </c>
      <c r="Q23" s="393">
        <f t="shared" si="1"/>
        <v>0</v>
      </c>
      <c r="R23" s="249"/>
      <c r="S23" s="249"/>
      <c r="T23" s="249"/>
      <c r="U23" s="249"/>
    </row>
    <row r="24" spans="1:21" ht="15.75" x14ac:dyDescent="0.25">
      <c r="A24" s="688"/>
      <c r="B24" s="689"/>
      <c r="C24" s="249"/>
      <c r="D24" s="249"/>
      <c r="E24" s="249"/>
      <c r="F24" s="249"/>
      <c r="G24" s="254"/>
      <c r="H24" s="250"/>
      <c r="I24" s="352"/>
      <c r="J24" s="250"/>
      <c r="K24" s="352"/>
      <c r="L24" s="250"/>
      <c r="M24" s="230"/>
      <c r="N24" s="249"/>
      <c r="O24" s="230"/>
      <c r="P24" s="381">
        <f t="shared" si="0"/>
        <v>0</v>
      </c>
      <c r="Q24" s="393">
        <f t="shared" si="1"/>
        <v>0</v>
      </c>
      <c r="R24" s="249"/>
      <c r="S24" s="249"/>
      <c r="T24" s="249"/>
      <c r="U24" s="249"/>
    </row>
    <row r="25" spans="1:21" ht="15.75" x14ac:dyDescent="0.25">
      <c r="A25" s="688"/>
      <c r="B25" s="690" t="s">
        <v>1388</v>
      </c>
      <c r="C25" s="249"/>
      <c r="D25" s="249"/>
      <c r="E25" s="249"/>
      <c r="F25" s="249"/>
      <c r="G25" s="254"/>
      <c r="H25" s="250"/>
      <c r="I25" s="352"/>
      <c r="J25" s="250"/>
      <c r="K25" s="352"/>
      <c r="L25" s="250"/>
      <c r="M25" s="230"/>
      <c r="N25" s="249"/>
      <c r="O25" s="230"/>
      <c r="P25" s="381">
        <f t="shared" si="0"/>
        <v>0</v>
      </c>
      <c r="Q25" s="393">
        <f t="shared" si="1"/>
        <v>0</v>
      </c>
      <c r="R25" s="249"/>
      <c r="S25" s="249"/>
      <c r="T25" s="249"/>
      <c r="U25" s="249"/>
    </row>
    <row r="26" spans="1:21" ht="15.75" customHeight="1" x14ac:dyDescent="0.25">
      <c r="A26" s="688"/>
      <c r="B26" s="690"/>
      <c r="C26" s="249"/>
      <c r="D26" s="249"/>
      <c r="E26" s="249"/>
      <c r="F26" s="249"/>
      <c r="G26" s="254"/>
      <c r="H26" s="250"/>
      <c r="I26" s="352"/>
      <c r="J26" s="250"/>
      <c r="K26" s="352"/>
      <c r="L26" s="250"/>
      <c r="M26" s="230"/>
      <c r="N26" s="249"/>
      <c r="O26" s="230"/>
      <c r="P26" s="381">
        <f t="shared" si="0"/>
        <v>0</v>
      </c>
      <c r="Q26" s="393">
        <f t="shared" si="1"/>
        <v>0</v>
      </c>
      <c r="R26" s="249"/>
      <c r="S26" s="249"/>
      <c r="T26" s="249"/>
      <c r="U26" s="249"/>
    </row>
    <row r="27" spans="1:21" ht="15.75" x14ac:dyDescent="0.25">
      <c r="A27" s="688"/>
      <c r="B27" s="690"/>
      <c r="C27" s="249"/>
      <c r="D27" s="249"/>
      <c r="E27" s="249"/>
      <c r="F27" s="249"/>
      <c r="G27" s="254"/>
      <c r="H27" s="250"/>
      <c r="I27" s="352"/>
      <c r="J27" s="250"/>
      <c r="K27" s="352"/>
      <c r="L27" s="250"/>
      <c r="M27" s="230"/>
      <c r="N27" s="249"/>
      <c r="O27" s="230"/>
      <c r="P27" s="381">
        <f t="shared" si="0"/>
        <v>0</v>
      </c>
      <c r="Q27" s="393">
        <f t="shared" si="1"/>
        <v>0</v>
      </c>
      <c r="R27" s="249"/>
      <c r="S27" s="249"/>
      <c r="T27" s="249"/>
      <c r="U27" s="249"/>
    </row>
    <row r="28" spans="1:21" ht="15.75" x14ac:dyDescent="0.25">
      <c r="A28" s="688"/>
      <c r="B28" s="690"/>
      <c r="C28" s="249"/>
      <c r="D28" s="249"/>
      <c r="E28" s="249"/>
      <c r="F28" s="249"/>
      <c r="G28" s="249"/>
      <c r="H28" s="249"/>
      <c r="I28" s="230"/>
      <c r="J28" s="249"/>
      <c r="K28" s="230"/>
      <c r="L28" s="249"/>
      <c r="M28" s="230"/>
      <c r="N28" s="249"/>
      <c r="O28" s="230"/>
      <c r="P28" s="381">
        <f t="shared" si="0"/>
        <v>0</v>
      </c>
      <c r="Q28" s="382">
        <f t="shared" si="1"/>
        <v>0</v>
      </c>
      <c r="R28" s="249"/>
      <c r="S28" s="249"/>
      <c r="T28" s="249"/>
      <c r="U28" s="249"/>
    </row>
    <row r="29" spans="1:21" ht="15.75" x14ac:dyDescent="0.25">
      <c r="A29" s="689"/>
      <c r="B29" s="690"/>
      <c r="C29" s="249"/>
      <c r="D29" s="249"/>
      <c r="E29" s="249"/>
      <c r="F29" s="249"/>
      <c r="G29" s="249"/>
      <c r="H29" s="249"/>
      <c r="I29" s="230"/>
      <c r="J29" s="249"/>
      <c r="K29" s="230"/>
      <c r="L29" s="249"/>
      <c r="M29" s="230"/>
      <c r="N29" s="249"/>
      <c r="O29" s="230"/>
      <c r="P29" s="381">
        <f t="shared" si="0"/>
        <v>0</v>
      </c>
      <c r="Q29" s="382">
        <f t="shared" si="1"/>
        <v>0</v>
      </c>
      <c r="R29" s="249"/>
      <c r="S29" s="249"/>
      <c r="T29" s="249"/>
      <c r="U29" s="249"/>
    </row>
    <row r="30" spans="1:21" ht="15.75" x14ac:dyDescent="0.25">
      <c r="A30" s="699" t="s">
        <v>476</v>
      </c>
      <c r="B30" s="700"/>
      <c r="C30" s="700"/>
      <c r="D30" s="700"/>
      <c r="E30" s="700"/>
      <c r="F30" s="700"/>
      <c r="G30" s="700"/>
      <c r="H30" s="700"/>
      <c r="I30" s="700"/>
      <c r="J30" s="700"/>
      <c r="K30" s="700"/>
      <c r="L30" s="700"/>
      <c r="M30" s="700"/>
      <c r="N30" s="700"/>
      <c r="O30" s="700"/>
      <c r="P30" s="700"/>
      <c r="Q30" s="700"/>
      <c r="R30" s="700"/>
      <c r="S30" s="700"/>
      <c r="T30" s="700"/>
      <c r="U30" s="701"/>
    </row>
    <row r="31" spans="1:21" ht="15.75" customHeight="1" x14ac:dyDescent="0.25">
      <c r="A31" s="687" t="s">
        <v>1393</v>
      </c>
      <c r="B31" s="690" t="s">
        <v>1394</v>
      </c>
      <c r="C31" s="249"/>
      <c r="D31" s="249"/>
      <c r="E31" s="249"/>
      <c r="F31" s="249"/>
      <c r="G31" s="254"/>
      <c r="H31" s="249"/>
      <c r="I31" s="230"/>
      <c r="J31" s="249"/>
      <c r="K31" s="230"/>
      <c r="L31" s="249"/>
      <c r="M31" s="230"/>
      <c r="N31" s="249"/>
      <c r="O31" s="230"/>
      <c r="P31" s="381">
        <f t="shared" ref="P31:P42" si="2">H31+J31+L31+N31</f>
        <v>0</v>
      </c>
      <c r="Q31" s="382">
        <f t="shared" ref="Q31:Q42" si="3">I31+K31+M31+O31</f>
        <v>0</v>
      </c>
      <c r="R31" s="249"/>
      <c r="S31" s="249"/>
      <c r="T31" s="249"/>
      <c r="U31" s="272"/>
    </row>
    <row r="32" spans="1:21" ht="15.75" x14ac:dyDescent="0.25">
      <c r="A32" s="688"/>
      <c r="B32" s="690"/>
      <c r="C32" s="249"/>
      <c r="D32" s="249"/>
      <c r="E32" s="249"/>
      <c r="F32" s="249"/>
      <c r="G32" s="254"/>
      <c r="H32" s="249"/>
      <c r="I32" s="230"/>
      <c r="J32" s="249"/>
      <c r="K32" s="230"/>
      <c r="L32" s="249"/>
      <c r="M32" s="230"/>
      <c r="N32" s="249"/>
      <c r="O32" s="230"/>
      <c r="P32" s="381">
        <f t="shared" si="2"/>
        <v>0</v>
      </c>
      <c r="Q32" s="382">
        <f t="shared" si="3"/>
        <v>0</v>
      </c>
      <c r="R32" s="249"/>
      <c r="S32" s="249"/>
      <c r="T32" s="249"/>
      <c r="U32" s="272"/>
    </row>
    <row r="33" spans="1:21" ht="15.75" x14ac:dyDescent="0.25">
      <c r="A33" s="688"/>
      <c r="B33" s="690"/>
      <c r="C33" s="249"/>
      <c r="D33" s="249"/>
      <c r="E33" s="249"/>
      <c r="F33" s="249"/>
      <c r="G33" s="254"/>
      <c r="H33" s="249"/>
      <c r="I33" s="230"/>
      <c r="J33" s="249"/>
      <c r="K33" s="230"/>
      <c r="L33" s="249"/>
      <c r="M33" s="230"/>
      <c r="N33" s="249"/>
      <c r="O33" s="230"/>
      <c r="P33" s="381">
        <f t="shared" si="2"/>
        <v>0</v>
      </c>
      <c r="Q33" s="382">
        <f t="shared" si="3"/>
        <v>0</v>
      </c>
      <c r="R33" s="249"/>
      <c r="S33" s="249"/>
      <c r="T33" s="249"/>
      <c r="U33" s="272"/>
    </row>
    <row r="34" spans="1:21" ht="15.75" x14ac:dyDescent="0.25">
      <c r="A34" s="688"/>
      <c r="B34" s="690"/>
      <c r="C34" s="249"/>
      <c r="D34" s="249"/>
      <c r="E34" s="249"/>
      <c r="F34" s="249"/>
      <c r="G34" s="254"/>
      <c r="H34" s="249"/>
      <c r="I34" s="230"/>
      <c r="J34" s="249"/>
      <c r="K34" s="230"/>
      <c r="L34" s="249"/>
      <c r="M34" s="230"/>
      <c r="N34" s="249"/>
      <c r="O34" s="230"/>
      <c r="P34" s="381">
        <f t="shared" si="2"/>
        <v>0</v>
      </c>
      <c r="Q34" s="382">
        <f t="shared" si="3"/>
        <v>0</v>
      </c>
      <c r="R34" s="249"/>
      <c r="S34" s="249"/>
      <c r="T34" s="249"/>
      <c r="U34" s="272"/>
    </row>
    <row r="35" spans="1:21" ht="15.75" x14ac:dyDescent="0.25">
      <c r="A35" s="688"/>
      <c r="B35" s="690"/>
      <c r="C35" s="249"/>
      <c r="D35" s="249"/>
      <c r="E35" s="249"/>
      <c r="F35" s="249"/>
      <c r="G35" s="254"/>
      <c r="H35" s="249"/>
      <c r="I35" s="230"/>
      <c r="J35" s="249"/>
      <c r="K35" s="230"/>
      <c r="L35" s="249"/>
      <c r="M35" s="230"/>
      <c r="N35" s="249"/>
      <c r="O35" s="230"/>
      <c r="P35" s="381">
        <f t="shared" si="2"/>
        <v>0</v>
      </c>
      <c r="Q35" s="382">
        <f t="shared" si="3"/>
        <v>0</v>
      </c>
      <c r="R35" s="249"/>
      <c r="S35" s="249"/>
      <c r="T35" s="249"/>
      <c r="U35" s="272"/>
    </row>
    <row r="36" spans="1:21" ht="15.75" x14ac:dyDescent="0.25">
      <c r="A36" s="689"/>
      <c r="B36" s="690"/>
      <c r="C36" s="249"/>
      <c r="D36" s="249"/>
      <c r="E36" s="249"/>
      <c r="F36" s="249"/>
      <c r="G36" s="254"/>
      <c r="H36" s="249"/>
      <c r="I36" s="230"/>
      <c r="J36" s="249"/>
      <c r="K36" s="230"/>
      <c r="L36" s="249"/>
      <c r="M36" s="230"/>
      <c r="N36" s="249"/>
      <c r="O36" s="230"/>
      <c r="P36" s="381">
        <f t="shared" si="2"/>
        <v>0</v>
      </c>
      <c r="Q36" s="382">
        <f t="shared" si="3"/>
        <v>0</v>
      </c>
      <c r="R36" s="249"/>
      <c r="S36" s="249"/>
      <c r="T36" s="249"/>
      <c r="U36" s="272"/>
    </row>
    <row r="37" spans="1:21" ht="15.75" x14ac:dyDescent="0.25">
      <c r="A37" s="690" t="s">
        <v>1391</v>
      </c>
      <c r="B37" s="690" t="s">
        <v>1395</v>
      </c>
      <c r="C37" s="249"/>
      <c r="D37" s="249"/>
      <c r="E37" s="249"/>
      <c r="F37" s="249"/>
      <c r="G37" s="249"/>
      <c r="H37" s="249"/>
      <c r="I37" s="230"/>
      <c r="J37" s="249"/>
      <c r="K37" s="230"/>
      <c r="L37" s="250"/>
      <c r="M37" s="230"/>
      <c r="N37" s="249"/>
      <c r="O37" s="230"/>
      <c r="P37" s="383">
        <f t="shared" si="2"/>
        <v>0</v>
      </c>
      <c r="Q37" s="382">
        <f t="shared" si="3"/>
        <v>0</v>
      </c>
      <c r="R37" s="249"/>
      <c r="S37" s="249"/>
      <c r="T37" s="249"/>
      <c r="U37" s="325"/>
    </row>
    <row r="38" spans="1:21" ht="15.75" x14ac:dyDescent="0.25">
      <c r="A38" s="690"/>
      <c r="B38" s="690"/>
      <c r="C38" s="249"/>
      <c r="D38" s="249"/>
      <c r="E38" s="249"/>
      <c r="F38" s="249"/>
      <c r="G38" s="249"/>
      <c r="H38" s="249"/>
      <c r="I38" s="230"/>
      <c r="J38" s="249"/>
      <c r="K38" s="230"/>
      <c r="L38" s="250"/>
      <c r="M38" s="230"/>
      <c r="N38" s="249"/>
      <c r="O38" s="230"/>
      <c r="P38" s="383">
        <f t="shared" si="2"/>
        <v>0</v>
      </c>
      <c r="Q38" s="382">
        <f t="shared" si="3"/>
        <v>0</v>
      </c>
      <c r="R38" s="249"/>
      <c r="S38" s="249"/>
      <c r="T38" s="249"/>
      <c r="U38" s="325"/>
    </row>
    <row r="39" spans="1:21" ht="15.75" x14ac:dyDescent="0.25">
      <c r="A39" s="690"/>
      <c r="B39" s="690"/>
      <c r="C39" s="249"/>
      <c r="D39" s="249"/>
      <c r="E39" s="249"/>
      <c r="F39" s="249"/>
      <c r="G39" s="249"/>
      <c r="H39" s="249"/>
      <c r="I39" s="230"/>
      <c r="J39" s="249"/>
      <c r="K39" s="230"/>
      <c r="L39" s="250"/>
      <c r="M39" s="230"/>
      <c r="N39" s="249"/>
      <c r="O39" s="230"/>
      <c r="P39" s="383">
        <f t="shared" si="2"/>
        <v>0</v>
      </c>
      <c r="Q39" s="382">
        <f t="shared" si="3"/>
        <v>0</v>
      </c>
      <c r="R39" s="249"/>
      <c r="S39" s="249"/>
      <c r="T39" s="249"/>
      <c r="U39" s="325"/>
    </row>
    <row r="40" spans="1:21" ht="15.75" x14ac:dyDescent="0.25">
      <c r="A40" s="690"/>
      <c r="B40" s="690"/>
      <c r="C40" s="249"/>
      <c r="D40" s="249"/>
      <c r="E40" s="249"/>
      <c r="F40" s="249"/>
      <c r="G40" s="249"/>
      <c r="H40" s="249"/>
      <c r="I40" s="230"/>
      <c r="J40" s="249"/>
      <c r="K40" s="230"/>
      <c r="L40" s="250"/>
      <c r="M40" s="230"/>
      <c r="N40" s="249"/>
      <c r="O40" s="230"/>
      <c r="P40" s="383">
        <f t="shared" si="2"/>
        <v>0</v>
      </c>
      <c r="Q40" s="382">
        <f t="shared" si="3"/>
        <v>0</v>
      </c>
      <c r="R40" s="249"/>
      <c r="S40" s="249"/>
      <c r="T40" s="249"/>
      <c r="U40" s="325"/>
    </row>
    <row r="41" spans="1:21" ht="15.75" x14ac:dyDescent="0.25">
      <c r="A41" s="690"/>
      <c r="B41" s="690"/>
      <c r="C41" s="249"/>
      <c r="D41" s="249"/>
      <c r="E41" s="249"/>
      <c r="F41" s="249"/>
      <c r="G41" s="249"/>
      <c r="H41" s="249"/>
      <c r="I41" s="230"/>
      <c r="J41" s="249"/>
      <c r="K41" s="230"/>
      <c r="L41" s="250"/>
      <c r="M41" s="230"/>
      <c r="N41" s="249"/>
      <c r="O41" s="230"/>
      <c r="P41" s="383">
        <f t="shared" si="2"/>
        <v>0</v>
      </c>
      <c r="Q41" s="382">
        <f t="shared" si="3"/>
        <v>0</v>
      </c>
      <c r="R41" s="249"/>
      <c r="S41" s="249"/>
      <c r="T41" s="249"/>
      <c r="U41" s="325"/>
    </row>
    <row r="42" spans="1:21" ht="15.75" x14ac:dyDescent="0.25">
      <c r="A42" s="690"/>
      <c r="B42" s="690"/>
      <c r="C42" s="249"/>
      <c r="D42" s="249"/>
      <c r="E42" s="249"/>
      <c r="F42" s="249"/>
      <c r="G42" s="249"/>
      <c r="H42" s="249"/>
      <c r="I42" s="230"/>
      <c r="J42" s="249"/>
      <c r="K42" s="230"/>
      <c r="L42" s="249"/>
      <c r="M42" s="230"/>
      <c r="N42" s="250"/>
      <c r="O42" s="230"/>
      <c r="P42" s="383">
        <f t="shared" si="2"/>
        <v>0</v>
      </c>
      <c r="Q42" s="382">
        <f t="shared" si="3"/>
        <v>0</v>
      </c>
      <c r="R42" s="249"/>
      <c r="S42" s="249"/>
      <c r="T42" s="249"/>
      <c r="U42" s="325"/>
    </row>
    <row r="43" spans="1:21" ht="15.75" x14ac:dyDescent="0.25">
      <c r="A43" s="291"/>
      <c r="B43" s="292"/>
      <c r="C43" s="292"/>
      <c r="D43" s="292"/>
      <c r="E43" s="291" t="s">
        <v>1385</v>
      </c>
      <c r="F43" s="292"/>
      <c r="G43" s="293"/>
      <c r="H43" s="274">
        <f t="shared" ref="H43:Q43" si="4">SUM(H10:H42)</f>
        <v>0</v>
      </c>
      <c r="I43" s="275">
        <f t="shared" si="4"/>
        <v>0</v>
      </c>
      <c r="J43" s="274">
        <f t="shared" si="4"/>
        <v>0</v>
      </c>
      <c r="K43" s="275">
        <f t="shared" si="4"/>
        <v>0</v>
      </c>
      <c r="L43" s="274">
        <f t="shared" si="4"/>
        <v>0</v>
      </c>
      <c r="M43" s="275">
        <f t="shared" si="4"/>
        <v>0</v>
      </c>
      <c r="N43" s="274">
        <f t="shared" si="4"/>
        <v>0</v>
      </c>
      <c r="O43" s="275">
        <f t="shared" si="4"/>
        <v>0</v>
      </c>
      <c r="P43" s="275">
        <f t="shared" si="4"/>
        <v>0</v>
      </c>
      <c r="Q43" s="275">
        <f t="shared" si="4"/>
        <v>0</v>
      </c>
      <c r="R43" s="264"/>
      <c r="S43" s="264"/>
      <c r="T43" s="264"/>
      <c r="U43" s="264"/>
    </row>
    <row r="45" spans="1:21" x14ac:dyDescent="0.25">
      <c r="I45"/>
      <c r="K45"/>
      <c r="M45"/>
      <c r="O45"/>
      <c r="Q45" s="394"/>
    </row>
    <row r="46" spans="1:21" x14ac:dyDescent="0.25">
      <c r="I46"/>
      <c r="K46"/>
      <c r="M46"/>
      <c r="O46"/>
      <c r="Q46" s="394"/>
    </row>
    <row r="47" spans="1:21" x14ac:dyDescent="0.25">
      <c r="I47"/>
      <c r="K47"/>
      <c r="M47"/>
      <c r="O47"/>
      <c r="Q47" s="394"/>
    </row>
    <row r="48" spans="1:21" x14ac:dyDescent="0.25">
      <c r="I48"/>
      <c r="K48"/>
      <c r="M48"/>
      <c r="O48"/>
      <c r="Q48" s="394"/>
    </row>
    <row r="49" spans="3:17" x14ac:dyDescent="0.25">
      <c r="C49" s="462"/>
      <c r="I49"/>
      <c r="K49"/>
      <c r="M49"/>
      <c r="O49"/>
      <c r="Q49" s="394"/>
    </row>
    <row r="50" spans="3:17" x14ac:dyDescent="0.25">
      <c r="C50" s="462"/>
      <c r="I50"/>
      <c r="K50"/>
      <c r="M50"/>
      <c r="O50"/>
      <c r="Q50" s="394"/>
    </row>
    <row r="51" spans="3:17" x14ac:dyDescent="0.25">
      <c r="C51" s="462"/>
      <c r="I51"/>
      <c r="K51"/>
      <c r="M51"/>
      <c r="O51"/>
      <c r="Q51" s="394"/>
    </row>
    <row r="52" spans="3:17" x14ac:dyDescent="0.25">
      <c r="C52" s="462"/>
      <c r="I52"/>
      <c r="K52"/>
      <c r="M52"/>
      <c r="O52"/>
      <c r="Q52" s="394"/>
    </row>
    <row r="53" spans="3:17" x14ac:dyDescent="0.25">
      <c r="C53" s="462"/>
      <c r="I53"/>
      <c r="K53"/>
      <c r="M53"/>
      <c r="O53"/>
      <c r="Q53" s="394"/>
    </row>
    <row r="54" spans="3:17" x14ac:dyDescent="0.25">
      <c r="C54" s="462"/>
      <c r="I54"/>
      <c r="K54"/>
      <c r="M54"/>
      <c r="O54"/>
      <c r="Q54" s="394"/>
    </row>
    <row r="55" spans="3:17" x14ac:dyDescent="0.25">
      <c r="C55" s="462"/>
      <c r="I55"/>
      <c r="K55"/>
      <c r="M55"/>
      <c r="O55"/>
      <c r="Q55" s="394"/>
    </row>
    <row r="56" spans="3:17" x14ac:dyDescent="0.25">
      <c r="C56" s="462"/>
      <c r="I56"/>
      <c r="K56"/>
      <c r="M56"/>
      <c r="O56"/>
      <c r="Q56" s="394"/>
    </row>
    <row r="57" spans="3:17" x14ac:dyDescent="0.25">
      <c r="C57" s="462"/>
      <c r="I57"/>
      <c r="K57"/>
      <c r="M57"/>
      <c r="O57"/>
      <c r="Q57" s="394"/>
    </row>
    <row r="58" spans="3:17" x14ac:dyDescent="0.25">
      <c r="C58" s="462"/>
      <c r="I58"/>
      <c r="K58"/>
      <c r="M58"/>
      <c r="O58"/>
      <c r="Q58" s="394"/>
    </row>
    <row r="59" spans="3:17" x14ac:dyDescent="0.25">
      <c r="C59" s="462"/>
      <c r="I59"/>
      <c r="K59"/>
      <c r="M59"/>
      <c r="O59"/>
      <c r="Q59" s="394"/>
    </row>
    <row r="60" spans="3:17" x14ac:dyDescent="0.25">
      <c r="C60" s="462"/>
      <c r="I60"/>
      <c r="K60"/>
      <c r="M60"/>
      <c r="O60"/>
      <c r="Q60" s="394"/>
    </row>
    <row r="61" spans="3:17" x14ac:dyDescent="0.25">
      <c r="C61" s="462"/>
      <c r="I61"/>
      <c r="K61"/>
      <c r="M61"/>
      <c r="O61"/>
      <c r="Q61" s="394"/>
    </row>
    <row r="62" spans="3:17" x14ac:dyDescent="0.25">
      <c r="C62" s="462"/>
      <c r="I62"/>
      <c r="K62"/>
      <c r="M62"/>
      <c r="O62"/>
      <c r="Q62" s="394"/>
    </row>
    <row r="63" spans="3:17" x14ac:dyDescent="0.25">
      <c r="C63" s="462"/>
    </row>
    <row r="64" spans="3:17" x14ac:dyDescent="0.25">
      <c r="C64" s="462"/>
    </row>
    <row r="65" spans="3:3" x14ac:dyDescent="0.25">
      <c r="C65" s="462"/>
    </row>
    <row r="66" spans="3:3" x14ac:dyDescent="0.25">
      <c r="C66" s="462"/>
    </row>
    <row r="67" spans="3:3" x14ac:dyDescent="0.25">
      <c r="C67" s="462"/>
    </row>
    <row r="68" spans="3:3" x14ac:dyDescent="0.25">
      <c r="C68" s="462"/>
    </row>
    <row r="69" spans="3:3" x14ac:dyDescent="0.25">
      <c r="C69" s="462"/>
    </row>
  </sheetData>
  <mergeCells count="27">
    <mergeCell ref="A30:U30"/>
    <mergeCell ref="B31:B36"/>
    <mergeCell ref="B37:B42"/>
    <mergeCell ref="A37:A42"/>
    <mergeCell ref="A31:A36"/>
    <mergeCell ref="B16:B20"/>
    <mergeCell ref="A10:A29"/>
    <mergeCell ref="U6:U8"/>
    <mergeCell ref="H7:I7"/>
    <mergeCell ref="J7:K7"/>
    <mergeCell ref="P6:Q7"/>
    <mergeCell ref="R6:R8"/>
    <mergeCell ref="S6:S8"/>
    <mergeCell ref="T6:T8"/>
    <mergeCell ref="L7:M7"/>
    <mergeCell ref="N7:O7"/>
    <mergeCell ref="G6:G8"/>
    <mergeCell ref="H6:O6"/>
    <mergeCell ref="B10:B15"/>
    <mergeCell ref="B21:B24"/>
    <mergeCell ref="B25:B29"/>
    <mergeCell ref="F6:F8"/>
    <mergeCell ref="A6:A8"/>
    <mergeCell ref="B6:B8"/>
    <mergeCell ref="C6:C8"/>
    <mergeCell ref="E6:E8"/>
    <mergeCell ref="D6:D8"/>
  </mergeCells>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29">
      <formula1>$M$1:$AG$1</formula1>
    </dataValidation>
    <dataValidation type="list" allowBlank="1" showInputMessage="1" showErrorMessage="1" sqref="C31:C42">
      <formula1>$C$1:$D$1</formula1>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7" activePane="bottomLeft" state="frozen"/>
      <selection activeCell="P6" sqref="P6"/>
      <selection pane="bottomLeft" activeCell="C15" sqref="C15"/>
    </sheetView>
  </sheetViews>
  <sheetFormatPr baseColWidth="10" defaultRowHeight="15" x14ac:dyDescent="0.25"/>
  <cols>
    <col min="1" max="1" width="21.7109375" customWidth="1"/>
    <col min="2" max="2" width="42.85546875" customWidth="1"/>
    <col min="3" max="3" width="27.42578125" customWidth="1"/>
    <col min="4" max="4" width="27.42578125" style="462" customWidth="1"/>
    <col min="5" max="7" width="27.42578125" customWidth="1"/>
    <col min="8" max="8" width="15.28515625" customWidth="1"/>
    <col min="9" max="9" width="12.140625" style="233" bestFit="1" customWidth="1"/>
    <col min="10" max="10" width="15.28515625" customWidth="1"/>
    <col min="11" max="11" width="12.140625" style="233" bestFit="1" customWidth="1"/>
    <col min="12" max="12" width="15.28515625" customWidth="1"/>
    <col min="13" max="13" width="12.140625" style="233" bestFit="1" customWidth="1"/>
    <col min="14" max="14" width="15.28515625" customWidth="1"/>
    <col min="15" max="15" width="11.5703125" style="233"/>
    <col min="16" max="16" width="15.28515625" customWidth="1"/>
    <col min="17" max="17" width="15.7109375" style="233" customWidth="1"/>
    <col min="18" max="20" width="14.28515625" customWidth="1"/>
    <col min="21" max="21" width="17" customWidth="1"/>
  </cols>
  <sheetData>
    <row r="1" spans="1:21" s="285" customFormat="1" ht="18" customHeight="1" x14ac:dyDescent="0.25">
      <c r="B1" s="284"/>
      <c r="C1" s="502" t="s">
        <v>1580</v>
      </c>
      <c r="D1" s="502" t="s">
        <v>1581</v>
      </c>
      <c r="E1" s="502" t="s">
        <v>1582</v>
      </c>
      <c r="F1" s="284"/>
      <c r="G1" s="284"/>
      <c r="H1" s="284" t="s">
        <v>114</v>
      </c>
      <c r="J1" s="284"/>
      <c r="K1" s="284"/>
      <c r="L1" s="284"/>
      <c r="M1" s="284"/>
      <c r="N1" s="284"/>
      <c r="O1" s="284"/>
      <c r="P1" s="284"/>
      <c r="Q1" s="284"/>
      <c r="R1" s="284"/>
      <c r="S1" s="284"/>
      <c r="T1" s="284"/>
      <c r="U1" s="284"/>
    </row>
    <row r="2" spans="1:21" s="285" customFormat="1" ht="18" customHeight="1" x14ac:dyDescent="0.25">
      <c r="A2" s="318" t="s">
        <v>1348</v>
      </c>
      <c r="B2" s="284"/>
      <c r="C2" s="284"/>
      <c r="D2" s="284"/>
      <c r="E2" s="284"/>
      <c r="F2" s="284"/>
      <c r="G2" s="284"/>
      <c r="H2" s="284"/>
      <c r="J2" s="284"/>
      <c r="K2" s="284"/>
      <c r="L2" s="284"/>
      <c r="M2" s="284"/>
      <c r="N2" s="284"/>
      <c r="O2" s="284"/>
      <c r="P2" s="284"/>
      <c r="Q2" s="284"/>
      <c r="R2" s="284"/>
      <c r="S2" s="284"/>
      <c r="T2" s="284"/>
      <c r="U2" s="284"/>
    </row>
    <row r="3" spans="1:21" s="285" customFormat="1" ht="18.75" x14ac:dyDescent="0.2">
      <c r="A3" s="353" t="s">
        <v>1396</v>
      </c>
      <c r="B3" s="284"/>
      <c r="C3" s="284"/>
      <c r="D3" s="284"/>
      <c r="E3" s="284"/>
      <c r="F3" s="284"/>
      <c r="G3" s="284"/>
      <c r="H3" s="284"/>
      <c r="J3" s="284"/>
      <c r="K3" s="284"/>
      <c r="L3" s="284"/>
      <c r="M3" s="284"/>
      <c r="N3" s="284"/>
      <c r="O3" s="284"/>
      <c r="P3" s="284"/>
      <c r="Q3" s="284"/>
      <c r="R3" s="284"/>
      <c r="S3" s="284"/>
      <c r="T3" s="284"/>
      <c r="U3" s="284"/>
    </row>
    <row r="4" spans="1:21" s="66" customFormat="1" ht="15.75" customHeight="1" x14ac:dyDescent="0.25">
      <c r="A4" s="666" t="s">
        <v>96</v>
      </c>
      <c r="B4" s="665" t="s">
        <v>110</v>
      </c>
      <c r="C4" s="668" t="s">
        <v>1514</v>
      </c>
      <c r="D4" s="668" t="s">
        <v>1515</v>
      </c>
      <c r="E4" s="668" t="s">
        <v>86</v>
      </c>
      <c r="F4" s="668" t="s">
        <v>390</v>
      </c>
      <c r="G4" s="668" t="s">
        <v>87</v>
      </c>
      <c r="H4" s="671" t="s">
        <v>99</v>
      </c>
      <c r="I4" s="677"/>
      <c r="J4" s="677"/>
      <c r="K4" s="677"/>
      <c r="L4" s="677"/>
      <c r="M4" s="677"/>
      <c r="N4" s="677"/>
      <c r="O4" s="672"/>
      <c r="P4" s="673" t="s">
        <v>100</v>
      </c>
      <c r="Q4" s="674"/>
      <c r="R4" s="665" t="s">
        <v>102</v>
      </c>
      <c r="S4" s="665" t="s">
        <v>109</v>
      </c>
      <c r="T4" s="665" t="s">
        <v>108</v>
      </c>
      <c r="U4" s="662" t="s">
        <v>88</v>
      </c>
    </row>
    <row r="5" spans="1:21" s="66" customFormat="1" ht="15" customHeight="1" x14ac:dyDescent="0.25">
      <c r="A5" s="666"/>
      <c r="B5" s="666"/>
      <c r="C5" s="669"/>
      <c r="D5" s="669"/>
      <c r="E5" s="669"/>
      <c r="F5" s="669"/>
      <c r="G5" s="669"/>
      <c r="H5" s="671" t="s">
        <v>103</v>
      </c>
      <c r="I5" s="672"/>
      <c r="J5" s="671" t="s">
        <v>104</v>
      </c>
      <c r="K5" s="672"/>
      <c r="L5" s="671" t="s">
        <v>105</v>
      </c>
      <c r="M5" s="672"/>
      <c r="N5" s="671" t="s">
        <v>106</v>
      </c>
      <c r="O5" s="672"/>
      <c r="P5" s="675"/>
      <c r="Q5" s="676"/>
      <c r="R5" s="666"/>
      <c r="S5" s="666"/>
      <c r="T5" s="666"/>
      <c r="U5" s="663"/>
    </row>
    <row r="6" spans="1:21" s="67" customFormat="1" ht="25.5" x14ac:dyDescent="0.25">
      <c r="A6" s="667"/>
      <c r="B6" s="667"/>
      <c r="C6" s="670"/>
      <c r="D6" s="670"/>
      <c r="E6" s="670"/>
      <c r="F6" s="670"/>
      <c r="G6" s="670"/>
      <c r="H6" s="438" t="s">
        <v>107</v>
      </c>
      <c r="I6" s="438" t="s">
        <v>12</v>
      </c>
      <c r="J6" s="438" t="s">
        <v>107</v>
      </c>
      <c r="K6" s="438" t="s">
        <v>12</v>
      </c>
      <c r="L6" s="438" t="s">
        <v>107</v>
      </c>
      <c r="M6" s="438" t="s">
        <v>12</v>
      </c>
      <c r="N6" s="438" t="s">
        <v>107</v>
      </c>
      <c r="O6" s="438" t="s">
        <v>12</v>
      </c>
      <c r="P6" s="438" t="s">
        <v>107</v>
      </c>
      <c r="Q6" s="438" t="s">
        <v>12</v>
      </c>
      <c r="R6" s="667"/>
      <c r="S6" s="667"/>
      <c r="T6" s="667"/>
      <c r="U6" s="664"/>
    </row>
    <row r="7" spans="1:21" s="67" customFormat="1" ht="15.75" x14ac:dyDescent="0.25">
      <c r="A7" s="439"/>
      <c r="B7" s="440"/>
      <c r="C7" s="441"/>
      <c r="D7" s="441"/>
      <c r="E7" s="441"/>
      <c r="F7" s="442"/>
      <c r="G7" s="441"/>
      <c r="H7" s="443"/>
      <c r="I7" s="443"/>
      <c r="J7" s="443"/>
      <c r="K7" s="443"/>
      <c r="L7" s="443"/>
      <c r="M7" s="443"/>
      <c r="N7" s="443"/>
      <c r="O7" s="443"/>
      <c r="P7" s="443"/>
      <c r="Q7" s="443"/>
      <c r="R7" s="444"/>
      <c r="S7" s="444"/>
      <c r="T7" s="444"/>
      <c r="U7" s="445"/>
    </row>
    <row r="8" spans="1:21" ht="15.75" x14ac:dyDescent="0.25">
      <c r="A8" s="702" t="s">
        <v>1397</v>
      </c>
      <c r="B8" s="702" t="s">
        <v>111</v>
      </c>
      <c r="C8" s="325"/>
      <c r="D8" s="325"/>
      <c r="E8" s="325"/>
      <c r="F8" s="325"/>
      <c r="G8" s="73"/>
      <c r="H8" s="351"/>
      <c r="I8" s="354"/>
      <c r="J8" s="351"/>
      <c r="K8" s="354"/>
      <c r="L8" s="351"/>
      <c r="M8" s="354"/>
      <c r="N8" s="351"/>
      <c r="O8" s="354"/>
      <c r="P8" s="396">
        <f>H8+J8+L8+N8</f>
        <v>0</v>
      </c>
      <c r="Q8" s="397">
        <f>I8+K8+M8+O8</f>
        <v>0</v>
      </c>
      <c r="R8" s="348"/>
      <c r="S8" s="249"/>
      <c r="T8" s="249"/>
      <c r="U8" s="249"/>
    </row>
    <row r="9" spans="1:21" ht="15.75" x14ac:dyDescent="0.25">
      <c r="A9" s="702"/>
      <c r="B9" s="702"/>
      <c r="C9" s="325"/>
      <c r="D9" s="325"/>
      <c r="E9" s="325"/>
      <c r="F9" s="325"/>
      <c r="G9" s="73"/>
      <c r="H9" s="351"/>
      <c r="I9" s="354"/>
      <c r="J9" s="351"/>
      <c r="K9" s="354"/>
      <c r="L9" s="351"/>
      <c r="M9" s="354"/>
      <c r="N9" s="351"/>
      <c r="O9" s="354"/>
      <c r="P9" s="396">
        <f t="shared" ref="P9:P26" si="0">H9+J9+L9+N9</f>
        <v>0</v>
      </c>
      <c r="Q9" s="397">
        <f t="shared" ref="Q9:Q26" si="1">I9+K9+M9+O9</f>
        <v>0</v>
      </c>
      <c r="R9" s="348"/>
      <c r="S9" s="249"/>
      <c r="T9" s="249"/>
      <c r="U9" s="249"/>
    </row>
    <row r="10" spans="1:21" ht="15.75" x14ac:dyDescent="0.25">
      <c r="A10" s="702"/>
      <c r="B10" s="702"/>
      <c r="C10" s="325"/>
      <c r="D10" s="325"/>
      <c r="E10" s="325"/>
      <c r="F10" s="325"/>
      <c r="G10" s="73"/>
      <c r="H10" s="351"/>
      <c r="I10" s="354"/>
      <c r="J10" s="351"/>
      <c r="K10" s="354"/>
      <c r="L10" s="351"/>
      <c r="M10" s="354"/>
      <c r="N10" s="351"/>
      <c r="O10" s="354"/>
      <c r="P10" s="396">
        <f t="shared" si="0"/>
        <v>0</v>
      </c>
      <c r="Q10" s="397">
        <f t="shared" si="1"/>
        <v>0</v>
      </c>
      <c r="R10" s="348"/>
      <c r="S10" s="249"/>
      <c r="T10" s="249"/>
      <c r="U10" s="249"/>
    </row>
    <row r="11" spans="1:21" ht="15.75" x14ac:dyDescent="0.25">
      <c r="A11" s="702"/>
      <c r="B11" s="702"/>
      <c r="C11" s="325"/>
      <c r="D11" s="325"/>
      <c r="E11" s="325"/>
      <c r="F11" s="325"/>
      <c r="G11" s="73"/>
      <c r="H11" s="351"/>
      <c r="I11" s="354"/>
      <c r="J11" s="351"/>
      <c r="K11" s="354"/>
      <c r="L11" s="351"/>
      <c r="M11" s="354"/>
      <c r="N11" s="351"/>
      <c r="O11" s="354"/>
      <c r="P11" s="396">
        <f t="shared" si="0"/>
        <v>0</v>
      </c>
      <c r="Q11" s="397">
        <f t="shared" si="1"/>
        <v>0</v>
      </c>
      <c r="R11" s="348"/>
      <c r="S11" s="249"/>
      <c r="T11" s="249"/>
      <c r="U11" s="249"/>
    </row>
    <row r="12" spans="1:21" ht="15.75" x14ac:dyDescent="0.25">
      <c r="A12" s="702"/>
      <c r="B12" s="702"/>
      <c r="C12" s="325"/>
      <c r="D12" s="325"/>
      <c r="E12" s="325"/>
      <c r="F12" s="325"/>
      <c r="G12" s="73"/>
      <c r="H12" s="351"/>
      <c r="I12" s="354"/>
      <c r="J12" s="351"/>
      <c r="K12" s="354"/>
      <c r="L12" s="351"/>
      <c r="M12" s="354"/>
      <c r="N12" s="351"/>
      <c r="O12" s="354"/>
      <c r="P12" s="396">
        <f t="shared" si="0"/>
        <v>0</v>
      </c>
      <c r="Q12" s="397">
        <f t="shared" si="1"/>
        <v>0</v>
      </c>
      <c r="R12" s="348"/>
      <c r="S12" s="249"/>
      <c r="T12" s="249"/>
      <c r="U12" s="249"/>
    </row>
    <row r="13" spans="1:21" ht="15.75" x14ac:dyDescent="0.25">
      <c r="A13" s="702"/>
      <c r="B13" s="702"/>
      <c r="C13" s="325"/>
      <c r="D13" s="325"/>
      <c r="E13" s="325"/>
      <c r="F13" s="325"/>
      <c r="G13" s="73"/>
      <c r="H13" s="351"/>
      <c r="I13" s="354"/>
      <c r="J13" s="351"/>
      <c r="K13" s="354"/>
      <c r="L13" s="351"/>
      <c r="M13" s="354"/>
      <c r="N13" s="351"/>
      <c r="O13" s="354"/>
      <c r="P13" s="396">
        <f t="shared" si="0"/>
        <v>0</v>
      </c>
      <c r="Q13" s="397">
        <f t="shared" si="1"/>
        <v>0</v>
      </c>
      <c r="R13" s="348"/>
      <c r="S13" s="249"/>
      <c r="T13" s="249"/>
      <c r="U13" s="249"/>
    </row>
    <row r="14" spans="1:21" ht="15.75" x14ac:dyDescent="0.25">
      <c r="A14" s="702"/>
      <c r="B14" s="702" t="s">
        <v>112</v>
      </c>
      <c r="C14" s="325"/>
      <c r="D14" s="325"/>
      <c r="E14" s="325"/>
      <c r="F14" s="325"/>
      <c r="G14" s="73"/>
      <c r="H14" s="351"/>
      <c r="I14" s="354"/>
      <c r="J14" s="351"/>
      <c r="K14" s="354"/>
      <c r="L14" s="351"/>
      <c r="M14" s="354"/>
      <c r="N14" s="351"/>
      <c r="O14" s="354"/>
      <c r="P14" s="396">
        <f t="shared" si="0"/>
        <v>0</v>
      </c>
      <c r="Q14" s="397">
        <f t="shared" si="1"/>
        <v>0</v>
      </c>
      <c r="R14" s="348"/>
      <c r="S14" s="249"/>
      <c r="T14" s="249"/>
      <c r="U14" s="249"/>
    </row>
    <row r="15" spans="1:21" ht="15.75" x14ac:dyDescent="0.25">
      <c r="A15" s="702"/>
      <c r="B15" s="702"/>
      <c r="C15" s="325"/>
      <c r="D15" s="325"/>
      <c r="E15" s="325"/>
      <c r="F15" s="325"/>
      <c r="G15" s="73"/>
      <c r="H15" s="351"/>
      <c r="I15" s="354"/>
      <c r="J15" s="351"/>
      <c r="K15" s="354"/>
      <c r="L15" s="351"/>
      <c r="M15" s="354"/>
      <c r="N15" s="351"/>
      <c r="O15" s="354"/>
      <c r="P15" s="396">
        <f t="shared" si="0"/>
        <v>0</v>
      </c>
      <c r="Q15" s="397">
        <f t="shared" si="1"/>
        <v>0</v>
      </c>
      <c r="R15" s="348"/>
      <c r="S15" s="249"/>
      <c r="T15" s="249"/>
      <c r="U15" s="249"/>
    </row>
    <row r="16" spans="1:21" ht="15.75" x14ac:dyDescent="0.25">
      <c r="A16" s="702"/>
      <c r="B16" s="702"/>
      <c r="C16" s="325"/>
      <c r="D16" s="325"/>
      <c r="E16" s="325"/>
      <c r="F16" s="325"/>
      <c r="G16" s="73"/>
      <c r="H16" s="351"/>
      <c r="I16" s="354"/>
      <c r="J16" s="351"/>
      <c r="K16" s="354"/>
      <c r="L16" s="351"/>
      <c r="M16" s="354"/>
      <c r="N16" s="351"/>
      <c r="O16" s="354"/>
      <c r="P16" s="396">
        <f t="shared" si="0"/>
        <v>0</v>
      </c>
      <c r="Q16" s="397">
        <f t="shared" si="1"/>
        <v>0</v>
      </c>
      <c r="R16" s="348"/>
      <c r="S16" s="249"/>
      <c r="T16" s="249"/>
      <c r="U16" s="249"/>
    </row>
    <row r="17" spans="1:21" ht="15.75" x14ac:dyDescent="0.25">
      <c r="A17" s="702"/>
      <c r="B17" s="702"/>
      <c r="C17" s="325"/>
      <c r="D17" s="325"/>
      <c r="E17" s="325"/>
      <c r="F17" s="325"/>
      <c r="G17" s="73"/>
      <c r="H17" s="351"/>
      <c r="I17" s="354"/>
      <c r="J17" s="351"/>
      <c r="K17" s="354"/>
      <c r="L17" s="351"/>
      <c r="M17" s="354"/>
      <c r="N17" s="351"/>
      <c r="O17" s="354"/>
      <c r="P17" s="396">
        <f t="shared" si="0"/>
        <v>0</v>
      </c>
      <c r="Q17" s="397">
        <f t="shared" si="1"/>
        <v>0</v>
      </c>
      <c r="R17" s="348"/>
      <c r="S17" s="249"/>
      <c r="T17" s="249"/>
      <c r="U17" s="249"/>
    </row>
    <row r="18" spans="1:21" ht="15.75" x14ac:dyDescent="0.25">
      <c r="A18" s="702"/>
      <c r="B18" s="702"/>
      <c r="C18" s="325"/>
      <c r="D18" s="325"/>
      <c r="E18" s="325"/>
      <c r="F18" s="325"/>
      <c r="G18" s="73"/>
      <c r="H18" s="351"/>
      <c r="I18" s="354"/>
      <c r="J18" s="351"/>
      <c r="K18" s="354"/>
      <c r="L18" s="351"/>
      <c r="M18" s="354"/>
      <c r="N18" s="351"/>
      <c r="O18" s="354"/>
      <c r="P18" s="396">
        <f t="shared" si="0"/>
        <v>0</v>
      </c>
      <c r="Q18" s="397">
        <f t="shared" si="1"/>
        <v>0</v>
      </c>
      <c r="R18" s="348"/>
      <c r="S18" s="249"/>
      <c r="T18" s="249"/>
      <c r="U18" s="249"/>
    </row>
    <row r="19" spans="1:21" ht="15.75" x14ac:dyDescent="0.25">
      <c r="A19" s="702"/>
      <c r="B19" s="702"/>
      <c r="C19" s="325"/>
      <c r="D19" s="325"/>
      <c r="E19" s="325"/>
      <c r="F19" s="325"/>
      <c r="G19" s="73"/>
      <c r="H19" s="351"/>
      <c r="I19" s="354"/>
      <c r="J19" s="351"/>
      <c r="K19" s="354"/>
      <c r="L19" s="351"/>
      <c r="M19" s="354"/>
      <c r="N19" s="351"/>
      <c r="O19" s="354"/>
      <c r="P19" s="396">
        <f t="shared" si="0"/>
        <v>0</v>
      </c>
      <c r="Q19" s="397">
        <f t="shared" si="1"/>
        <v>0</v>
      </c>
      <c r="R19" s="348"/>
      <c r="S19" s="249"/>
      <c r="T19" s="249"/>
      <c r="U19" s="249"/>
    </row>
    <row r="20" spans="1:21" ht="15.75" x14ac:dyDescent="0.25">
      <c r="A20" s="702"/>
      <c r="B20" s="702" t="s">
        <v>1398</v>
      </c>
      <c r="C20" s="325"/>
      <c r="D20" s="325"/>
      <c r="E20" s="325"/>
      <c r="F20" s="325"/>
      <c r="G20" s="73"/>
      <c r="H20" s="351"/>
      <c r="I20" s="354"/>
      <c r="J20" s="351"/>
      <c r="K20" s="354"/>
      <c r="L20" s="351"/>
      <c r="M20" s="354"/>
      <c r="N20" s="351"/>
      <c r="O20" s="354"/>
      <c r="P20" s="396">
        <f t="shared" si="0"/>
        <v>0</v>
      </c>
      <c r="Q20" s="397">
        <f t="shared" si="1"/>
        <v>0</v>
      </c>
      <c r="R20" s="348"/>
      <c r="S20" s="249"/>
      <c r="T20" s="249"/>
      <c r="U20" s="249"/>
    </row>
    <row r="21" spans="1:21" ht="15.75" x14ac:dyDescent="0.25">
      <c r="A21" s="702"/>
      <c r="B21" s="702"/>
      <c r="C21" s="325"/>
      <c r="D21" s="325"/>
      <c r="E21" s="325"/>
      <c r="F21" s="325"/>
      <c r="G21" s="73"/>
      <c r="H21" s="351"/>
      <c r="I21" s="354"/>
      <c r="J21" s="351"/>
      <c r="K21" s="354"/>
      <c r="L21" s="351"/>
      <c r="M21" s="354"/>
      <c r="N21" s="351"/>
      <c r="O21" s="354"/>
      <c r="P21" s="396">
        <f t="shared" si="0"/>
        <v>0</v>
      </c>
      <c r="Q21" s="397">
        <f t="shared" si="1"/>
        <v>0</v>
      </c>
      <c r="R21" s="348"/>
      <c r="S21" s="249"/>
      <c r="T21" s="249"/>
      <c r="U21" s="249"/>
    </row>
    <row r="22" spans="1:21" ht="15.75" x14ac:dyDescent="0.25">
      <c r="A22" s="702"/>
      <c r="B22" s="702"/>
      <c r="C22" s="325"/>
      <c r="D22" s="325"/>
      <c r="E22" s="325"/>
      <c r="F22" s="325"/>
      <c r="G22" s="73"/>
      <c r="H22" s="351"/>
      <c r="I22" s="354"/>
      <c r="J22" s="351"/>
      <c r="K22" s="354"/>
      <c r="L22" s="351"/>
      <c r="M22" s="354"/>
      <c r="N22" s="351"/>
      <c r="O22" s="354"/>
      <c r="P22" s="396">
        <f t="shared" si="0"/>
        <v>0</v>
      </c>
      <c r="Q22" s="397">
        <f t="shared" si="1"/>
        <v>0</v>
      </c>
      <c r="R22" s="348"/>
      <c r="S22" s="249"/>
      <c r="T22" s="249"/>
      <c r="U22" s="249"/>
    </row>
    <row r="23" spans="1:21" ht="15.75" x14ac:dyDescent="0.25">
      <c r="A23" s="702"/>
      <c r="B23" s="702"/>
      <c r="C23" s="325"/>
      <c r="D23" s="325"/>
      <c r="E23" s="325"/>
      <c r="F23" s="325"/>
      <c r="G23" s="73"/>
      <c r="H23" s="351"/>
      <c r="I23" s="354"/>
      <c r="J23" s="351"/>
      <c r="K23" s="354"/>
      <c r="L23" s="351"/>
      <c r="M23" s="354"/>
      <c r="N23" s="351"/>
      <c r="O23" s="354"/>
      <c r="P23" s="396">
        <f t="shared" si="0"/>
        <v>0</v>
      </c>
      <c r="Q23" s="397">
        <f t="shared" si="1"/>
        <v>0</v>
      </c>
      <c r="R23" s="348"/>
      <c r="S23" s="249"/>
      <c r="T23" s="249"/>
      <c r="U23" s="249"/>
    </row>
    <row r="24" spans="1:21" ht="15.75" x14ac:dyDescent="0.25">
      <c r="A24" s="702"/>
      <c r="B24" s="702"/>
      <c r="C24" s="74"/>
      <c r="D24" s="74"/>
      <c r="E24" s="325"/>
      <c r="F24" s="325"/>
      <c r="G24" s="73"/>
      <c r="H24" s="351"/>
      <c r="I24" s="354"/>
      <c r="J24" s="351"/>
      <c r="K24" s="354"/>
      <c r="L24" s="351"/>
      <c r="M24" s="354"/>
      <c r="N24" s="351"/>
      <c r="O24" s="354"/>
      <c r="P24" s="396">
        <f t="shared" si="0"/>
        <v>0</v>
      </c>
      <c r="Q24" s="397">
        <f t="shared" si="1"/>
        <v>0</v>
      </c>
      <c r="R24" s="348"/>
      <c r="S24" s="249"/>
      <c r="T24" s="249"/>
      <c r="U24" s="249"/>
    </row>
    <row r="25" spans="1:21" ht="15.75" x14ac:dyDescent="0.25">
      <c r="A25" s="702"/>
      <c r="B25" s="702"/>
      <c r="C25" s="74"/>
      <c r="D25" s="74"/>
      <c r="E25" s="325"/>
      <c r="F25" s="325"/>
      <c r="G25" s="73"/>
      <c r="H25" s="351"/>
      <c r="I25" s="354"/>
      <c r="J25" s="351"/>
      <c r="K25" s="354"/>
      <c r="L25" s="351"/>
      <c r="M25" s="354"/>
      <c r="N25" s="351"/>
      <c r="O25" s="354"/>
      <c r="P25" s="396">
        <f t="shared" si="0"/>
        <v>0</v>
      </c>
      <c r="Q25" s="397">
        <f t="shared" si="1"/>
        <v>0</v>
      </c>
      <c r="R25" s="348"/>
      <c r="S25" s="249"/>
      <c r="T25" s="249"/>
      <c r="U25" s="249"/>
    </row>
    <row r="26" spans="1:21" ht="15.75" x14ac:dyDescent="0.25">
      <c r="A26" s="702"/>
      <c r="B26" s="702"/>
      <c r="C26" s="325"/>
      <c r="D26" s="325"/>
      <c r="E26" s="325"/>
      <c r="F26" s="325"/>
      <c r="G26" s="73"/>
      <c r="H26" s="351"/>
      <c r="I26" s="354"/>
      <c r="J26" s="351"/>
      <c r="K26" s="354"/>
      <c r="L26" s="351"/>
      <c r="M26" s="354"/>
      <c r="N26" s="351"/>
      <c r="O26" s="354"/>
      <c r="P26" s="396">
        <f t="shared" si="0"/>
        <v>0</v>
      </c>
      <c r="Q26" s="397">
        <f t="shared" si="1"/>
        <v>0</v>
      </c>
      <c r="R26" s="348"/>
      <c r="S26" s="249"/>
      <c r="T26" s="249"/>
      <c r="U26" s="249"/>
    </row>
    <row r="27" spans="1:21" s="286" customFormat="1" ht="15.75" x14ac:dyDescent="0.2">
      <c r="A27" s="297"/>
      <c r="B27" s="298"/>
      <c r="C27" s="297" t="s">
        <v>113</v>
      </c>
      <c r="D27" s="298"/>
      <c r="E27" s="298"/>
      <c r="F27" s="298"/>
      <c r="G27" s="299"/>
      <c r="H27" s="264">
        <f t="shared" ref="H27:Q27" si="2">SUM(H8:H26)</f>
        <v>0</v>
      </c>
      <c r="I27" s="232">
        <f t="shared" si="2"/>
        <v>0</v>
      </c>
      <c r="J27" s="264">
        <f t="shared" si="2"/>
        <v>0</v>
      </c>
      <c r="K27" s="232">
        <f t="shared" si="2"/>
        <v>0</v>
      </c>
      <c r="L27" s="264">
        <f t="shared" si="2"/>
        <v>0</v>
      </c>
      <c r="M27" s="232">
        <f t="shared" si="2"/>
        <v>0</v>
      </c>
      <c r="N27" s="264">
        <f t="shared" si="2"/>
        <v>0</v>
      </c>
      <c r="O27" s="232">
        <f t="shared" si="2"/>
        <v>0</v>
      </c>
      <c r="P27" s="232">
        <f t="shared" si="2"/>
        <v>0</v>
      </c>
      <c r="Q27" s="232">
        <f t="shared" si="2"/>
        <v>0</v>
      </c>
      <c r="R27" s="264"/>
      <c r="S27" s="264"/>
      <c r="T27" s="264"/>
      <c r="U27" s="264"/>
    </row>
    <row r="28" spans="1:21" x14ac:dyDescent="0.25">
      <c r="I28"/>
      <c r="K28"/>
      <c r="M28"/>
      <c r="O28"/>
      <c r="Q28"/>
    </row>
    <row r="29" spans="1:21" x14ac:dyDescent="0.25">
      <c r="I29"/>
      <c r="K29"/>
      <c r="M29"/>
      <c r="O29"/>
      <c r="Q29"/>
    </row>
    <row r="30" spans="1:21" x14ac:dyDescent="0.25">
      <c r="C30" s="462"/>
      <c r="I30"/>
      <c r="K30"/>
      <c r="M30"/>
      <c r="O30"/>
      <c r="Q30"/>
    </row>
    <row r="31" spans="1:21" x14ac:dyDescent="0.25">
      <c r="C31" s="462"/>
      <c r="I31"/>
      <c r="K31"/>
      <c r="M31"/>
      <c r="O31"/>
      <c r="Q31"/>
    </row>
    <row r="32" spans="1:21" x14ac:dyDescent="0.25">
      <c r="C32" s="462"/>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x14ac:dyDescent="0.25">
      <c r="I56"/>
      <c r="K56"/>
      <c r="M56"/>
      <c r="O56"/>
      <c r="Q56"/>
    </row>
    <row r="57" spans="9:17" x14ac:dyDescent="0.25">
      <c r="I57"/>
      <c r="K57"/>
      <c r="M57"/>
      <c r="O57"/>
      <c r="Q57"/>
    </row>
    <row r="58" spans="9:17" x14ac:dyDescent="0.25">
      <c r="I58"/>
      <c r="K58"/>
      <c r="M58"/>
      <c r="O58"/>
      <c r="Q58"/>
    </row>
    <row r="59" spans="9:17" x14ac:dyDescent="0.25">
      <c r="I59"/>
      <c r="K59"/>
      <c r="M59"/>
      <c r="O59"/>
      <c r="Q59"/>
    </row>
    <row r="60" spans="9:17" x14ac:dyDescent="0.25">
      <c r="I60"/>
      <c r="K60"/>
      <c r="M60"/>
      <c r="O60"/>
      <c r="Q60"/>
    </row>
    <row r="61" spans="9:17" x14ac:dyDescent="0.25">
      <c r="I61"/>
      <c r="K61"/>
      <c r="M61"/>
      <c r="O61"/>
      <c r="Q61"/>
    </row>
    <row r="62" spans="9:17" x14ac:dyDescent="0.25">
      <c r="I62"/>
      <c r="K62"/>
      <c r="M62"/>
      <c r="O62"/>
      <c r="Q62"/>
    </row>
    <row r="63" spans="9:17" x14ac:dyDescent="0.25">
      <c r="I63"/>
      <c r="K63"/>
      <c r="M63"/>
      <c r="O63"/>
      <c r="Q63"/>
    </row>
    <row r="64" spans="9:17" x14ac:dyDescent="0.25">
      <c r="I64"/>
      <c r="K64"/>
      <c r="M64"/>
      <c r="O64"/>
      <c r="Q64"/>
    </row>
    <row r="65" spans="9:17" x14ac:dyDescent="0.25">
      <c r="I65"/>
      <c r="K65"/>
      <c r="M65"/>
      <c r="O65"/>
      <c r="Q65"/>
    </row>
    <row r="66" spans="9:17" x14ac:dyDescent="0.25">
      <c r="I66"/>
      <c r="K66"/>
      <c r="M66"/>
      <c r="O66"/>
      <c r="Q66"/>
    </row>
    <row r="67" spans="9:17" x14ac:dyDescent="0.25">
      <c r="I67"/>
      <c r="K67"/>
      <c r="M67"/>
      <c r="O67"/>
      <c r="Q67"/>
    </row>
    <row r="68" spans="9:17" x14ac:dyDescent="0.25">
      <c r="I68"/>
      <c r="K68"/>
      <c r="M68"/>
      <c r="O68"/>
      <c r="Q68"/>
    </row>
    <row r="69" spans="9:17" x14ac:dyDescent="0.25">
      <c r="I69"/>
      <c r="K69"/>
      <c r="M69"/>
      <c r="O69"/>
      <c r="Q69"/>
    </row>
    <row r="70" spans="9:17" x14ac:dyDescent="0.25">
      <c r="I70"/>
      <c r="K70"/>
      <c r="M70"/>
      <c r="O70"/>
      <c r="Q70"/>
    </row>
    <row r="71" spans="9:17" x14ac:dyDescent="0.25">
      <c r="I71"/>
      <c r="K71"/>
      <c r="M71"/>
      <c r="O71"/>
      <c r="Q71"/>
    </row>
    <row r="72" spans="9:17" x14ac:dyDescent="0.25">
      <c r="I72"/>
      <c r="K72"/>
      <c r="M72"/>
      <c r="O72"/>
      <c r="Q72"/>
    </row>
    <row r="73" spans="9:17" x14ac:dyDescent="0.25">
      <c r="I73"/>
      <c r="K73"/>
      <c r="M73"/>
      <c r="O73"/>
      <c r="Q73"/>
    </row>
    <row r="74" spans="9:17" x14ac:dyDescent="0.25">
      <c r="I74"/>
      <c r="K74"/>
      <c r="M74"/>
      <c r="O74"/>
      <c r="Q74"/>
    </row>
    <row r="75" spans="9:17" x14ac:dyDescent="0.25">
      <c r="I75"/>
      <c r="K75"/>
      <c r="M75"/>
      <c r="O75"/>
      <c r="Q75"/>
    </row>
    <row r="76" spans="9:17" x14ac:dyDescent="0.25">
      <c r="I76"/>
      <c r="K76"/>
      <c r="M76"/>
      <c r="O76"/>
      <c r="Q76"/>
    </row>
    <row r="77" spans="9:17" x14ac:dyDescent="0.25">
      <c r="I77"/>
      <c r="K77"/>
      <c r="M77"/>
      <c r="O77"/>
      <c r="Q77"/>
    </row>
    <row r="78" spans="9:17" x14ac:dyDescent="0.25">
      <c r="I78"/>
      <c r="K78"/>
      <c r="M78"/>
      <c r="O78"/>
      <c r="Q78"/>
    </row>
    <row r="79" spans="9:17" x14ac:dyDescent="0.25">
      <c r="I79"/>
      <c r="K79"/>
      <c r="M79"/>
      <c r="O79"/>
      <c r="Q79"/>
    </row>
    <row r="80" spans="9:17" x14ac:dyDescent="0.25">
      <c r="I80"/>
      <c r="K80"/>
      <c r="M80"/>
      <c r="O80"/>
      <c r="Q80"/>
    </row>
    <row r="81" spans="9:17" x14ac:dyDescent="0.25">
      <c r="I81"/>
      <c r="K81"/>
      <c r="M81"/>
      <c r="O81"/>
      <c r="Q81"/>
    </row>
    <row r="82" spans="9:17" x14ac:dyDescent="0.25">
      <c r="I82"/>
      <c r="K82"/>
      <c r="M82"/>
      <c r="O82"/>
      <c r="Q82"/>
    </row>
    <row r="83" spans="9:17" x14ac:dyDescent="0.25">
      <c r="I83"/>
      <c r="K83"/>
      <c r="M83"/>
      <c r="O83"/>
      <c r="Q83"/>
    </row>
    <row r="84" spans="9:17" x14ac:dyDescent="0.25">
      <c r="I84"/>
      <c r="K84"/>
      <c r="M84"/>
      <c r="O84"/>
      <c r="Q84"/>
    </row>
    <row r="85" spans="9:17" x14ac:dyDescent="0.25">
      <c r="I85"/>
      <c r="K85"/>
      <c r="M85"/>
      <c r="O85"/>
      <c r="Q85"/>
    </row>
    <row r="86" spans="9:17" x14ac:dyDescent="0.25">
      <c r="I86"/>
      <c r="K86"/>
      <c r="M86"/>
      <c r="O86"/>
      <c r="Q86"/>
    </row>
    <row r="87" spans="9:17" x14ac:dyDescent="0.25">
      <c r="I87"/>
      <c r="K87"/>
      <c r="M87"/>
      <c r="O87"/>
      <c r="Q87"/>
    </row>
    <row r="88" spans="9:17" x14ac:dyDescent="0.25">
      <c r="I88"/>
      <c r="K88"/>
      <c r="M88"/>
      <c r="O88"/>
      <c r="Q88"/>
    </row>
    <row r="89" spans="9:17" x14ac:dyDescent="0.25">
      <c r="I89"/>
      <c r="K89"/>
      <c r="M89"/>
      <c r="O89"/>
      <c r="Q89"/>
    </row>
    <row r="90" spans="9:17" x14ac:dyDescent="0.25">
      <c r="I90"/>
      <c r="K90"/>
      <c r="M90"/>
      <c r="O90"/>
      <c r="Q90"/>
    </row>
    <row r="91" spans="9:17" x14ac:dyDescent="0.25">
      <c r="I91"/>
      <c r="K91"/>
      <c r="M91"/>
      <c r="O91"/>
      <c r="Q91"/>
    </row>
    <row r="92" spans="9:17" x14ac:dyDescent="0.25">
      <c r="I92"/>
      <c r="K92"/>
      <c r="M92"/>
      <c r="O92"/>
      <c r="Q92"/>
    </row>
    <row r="93" spans="9:17" x14ac:dyDescent="0.25">
      <c r="I93"/>
      <c r="K93"/>
      <c r="M93"/>
      <c r="O93"/>
      <c r="Q93"/>
    </row>
    <row r="94" spans="9:17" x14ac:dyDescent="0.25">
      <c r="I94"/>
      <c r="K94"/>
      <c r="M94"/>
      <c r="O94"/>
      <c r="Q94"/>
    </row>
    <row r="95" spans="9:17" x14ac:dyDescent="0.25">
      <c r="I95"/>
      <c r="K95"/>
      <c r="M95"/>
      <c r="O95"/>
      <c r="Q95"/>
    </row>
    <row r="96" spans="9:17" x14ac:dyDescent="0.25">
      <c r="I96"/>
      <c r="K96"/>
      <c r="M96"/>
      <c r="O96"/>
      <c r="Q96"/>
    </row>
    <row r="97" spans="9:17" x14ac:dyDescent="0.25">
      <c r="I97"/>
      <c r="K97"/>
      <c r="M97"/>
      <c r="O97"/>
      <c r="Q97"/>
    </row>
    <row r="98" spans="9:17" x14ac:dyDescent="0.25">
      <c r="I98"/>
      <c r="K98"/>
      <c r="M98"/>
      <c r="O98"/>
      <c r="Q98"/>
    </row>
    <row r="99" spans="9:17" x14ac:dyDescent="0.25">
      <c r="I99"/>
      <c r="K99"/>
      <c r="M99"/>
      <c r="O99"/>
      <c r="Q99"/>
    </row>
    <row r="100" spans="9:17" x14ac:dyDescent="0.25">
      <c r="I100"/>
      <c r="K100"/>
      <c r="M100"/>
      <c r="O100"/>
      <c r="Q100"/>
    </row>
    <row r="101" spans="9:17" x14ac:dyDescent="0.25">
      <c r="I101"/>
      <c r="K101"/>
      <c r="M101"/>
      <c r="O101"/>
      <c r="Q101"/>
    </row>
    <row r="102" spans="9:17" x14ac:dyDescent="0.25">
      <c r="I102"/>
      <c r="K102"/>
      <c r="M102"/>
      <c r="O102"/>
      <c r="Q102"/>
    </row>
    <row r="103" spans="9:17" x14ac:dyDescent="0.25">
      <c r="I103"/>
      <c r="K103"/>
      <c r="M103"/>
      <c r="O103"/>
      <c r="Q103"/>
    </row>
    <row r="104" spans="9:17" x14ac:dyDescent="0.25">
      <c r="I104"/>
      <c r="K104"/>
      <c r="M104"/>
      <c r="O104"/>
      <c r="Q104"/>
    </row>
    <row r="105" spans="9:17" x14ac:dyDescent="0.25">
      <c r="I105"/>
      <c r="K105"/>
      <c r="M105"/>
      <c r="O105"/>
      <c r="Q105"/>
    </row>
    <row r="106" spans="9:17" x14ac:dyDescent="0.25">
      <c r="I106"/>
      <c r="K106"/>
      <c r="M106"/>
      <c r="O106"/>
      <c r="Q106"/>
    </row>
    <row r="107" spans="9:17" x14ac:dyDescent="0.25">
      <c r="I107"/>
      <c r="K107"/>
      <c r="M107"/>
      <c r="O107"/>
      <c r="Q107"/>
    </row>
    <row r="108" spans="9:17" x14ac:dyDescent="0.25">
      <c r="I108"/>
      <c r="K108"/>
      <c r="M108"/>
      <c r="O108"/>
      <c r="Q108"/>
    </row>
    <row r="109" spans="9:17" x14ac:dyDescent="0.25">
      <c r="I109"/>
      <c r="K109"/>
      <c r="M109"/>
      <c r="O109"/>
      <c r="Q109"/>
    </row>
    <row r="110" spans="9:17" x14ac:dyDescent="0.25">
      <c r="I110"/>
      <c r="K110"/>
      <c r="M110"/>
      <c r="O110"/>
      <c r="Q110"/>
    </row>
    <row r="111" spans="9:17" x14ac:dyDescent="0.25">
      <c r="I111"/>
      <c r="K111"/>
      <c r="M111"/>
      <c r="O111"/>
      <c r="Q111"/>
    </row>
    <row r="112" spans="9:17" x14ac:dyDescent="0.25">
      <c r="I112"/>
      <c r="K112"/>
      <c r="M112"/>
      <c r="O112"/>
      <c r="Q112"/>
    </row>
    <row r="113" spans="9:17" x14ac:dyDescent="0.25">
      <c r="I113"/>
      <c r="K113"/>
      <c r="M113"/>
      <c r="O113"/>
      <c r="Q113"/>
    </row>
    <row r="114" spans="9:17" x14ac:dyDescent="0.25">
      <c r="I114"/>
      <c r="K114"/>
      <c r="M114"/>
      <c r="O114"/>
      <c r="Q114"/>
    </row>
    <row r="115" spans="9:17" x14ac:dyDescent="0.25">
      <c r="I115"/>
      <c r="K115"/>
      <c r="M115"/>
      <c r="O115"/>
      <c r="Q115"/>
    </row>
    <row r="116" spans="9:17" x14ac:dyDescent="0.25">
      <c r="I116"/>
      <c r="K116"/>
      <c r="M116"/>
      <c r="O116"/>
      <c r="Q116"/>
    </row>
    <row r="117" spans="9:17" x14ac:dyDescent="0.25">
      <c r="I117"/>
      <c r="K117"/>
      <c r="M117"/>
      <c r="O117"/>
      <c r="Q117"/>
    </row>
    <row r="118" spans="9:17" x14ac:dyDescent="0.25">
      <c r="I118"/>
      <c r="K118"/>
      <c r="M118"/>
      <c r="O118"/>
      <c r="Q118"/>
    </row>
    <row r="119" spans="9:17" x14ac:dyDescent="0.25">
      <c r="I119"/>
      <c r="K119"/>
      <c r="M119"/>
      <c r="O119"/>
      <c r="Q119"/>
    </row>
    <row r="120" spans="9:17" x14ac:dyDescent="0.25">
      <c r="I120"/>
      <c r="K120"/>
      <c r="M120"/>
      <c r="O120"/>
      <c r="Q120"/>
    </row>
    <row r="121" spans="9:17" x14ac:dyDescent="0.25">
      <c r="I121"/>
      <c r="K121"/>
      <c r="M121"/>
      <c r="O121"/>
      <c r="Q121"/>
    </row>
    <row r="122" spans="9:17" x14ac:dyDescent="0.25">
      <c r="I122"/>
      <c r="K122"/>
      <c r="M122"/>
      <c r="O122"/>
      <c r="Q122"/>
    </row>
    <row r="123" spans="9:17" x14ac:dyDescent="0.25">
      <c r="I123"/>
      <c r="K123"/>
      <c r="M123"/>
      <c r="O123"/>
      <c r="Q123"/>
    </row>
    <row r="124" spans="9:17" x14ac:dyDescent="0.25">
      <c r="I124"/>
      <c r="K124"/>
      <c r="M124"/>
      <c r="O124"/>
      <c r="Q124"/>
    </row>
    <row r="125" spans="9:17" x14ac:dyDescent="0.25">
      <c r="I125"/>
      <c r="K125"/>
      <c r="M125"/>
      <c r="O125"/>
      <c r="Q125"/>
    </row>
    <row r="126" spans="9:17" x14ac:dyDescent="0.25">
      <c r="I126"/>
      <c r="K126"/>
      <c r="M126"/>
      <c r="O126"/>
      <c r="Q126"/>
    </row>
    <row r="127" spans="9:17" x14ac:dyDescent="0.25">
      <c r="I127"/>
      <c r="K127"/>
      <c r="M127"/>
      <c r="O127"/>
      <c r="Q127"/>
    </row>
    <row r="128" spans="9:17" x14ac:dyDescent="0.25">
      <c r="I128"/>
      <c r="K128"/>
      <c r="M128"/>
      <c r="O128"/>
      <c r="Q128"/>
    </row>
    <row r="129" spans="9:17" x14ac:dyDescent="0.25">
      <c r="I129"/>
      <c r="K129"/>
      <c r="M129"/>
      <c r="O129"/>
      <c r="Q129"/>
    </row>
    <row r="130" spans="9:17" x14ac:dyDescent="0.25">
      <c r="I130"/>
      <c r="K130"/>
      <c r="M130"/>
      <c r="O130"/>
      <c r="Q130"/>
    </row>
    <row r="131" spans="9:17" x14ac:dyDescent="0.25">
      <c r="I131"/>
      <c r="K131"/>
      <c r="M131"/>
      <c r="O131"/>
      <c r="Q131"/>
    </row>
    <row r="132" spans="9:17" x14ac:dyDescent="0.25">
      <c r="I132"/>
      <c r="K132"/>
      <c r="M132"/>
      <c r="O132"/>
      <c r="Q132"/>
    </row>
    <row r="133" spans="9:17" x14ac:dyDescent="0.25">
      <c r="I133"/>
      <c r="K133"/>
      <c r="M133"/>
      <c r="O133"/>
      <c r="Q133"/>
    </row>
    <row r="134" spans="9:17" x14ac:dyDescent="0.25">
      <c r="I134"/>
      <c r="K134"/>
      <c r="M134"/>
      <c r="O134"/>
      <c r="Q134"/>
    </row>
    <row r="135" spans="9:17" x14ac:dyDescent="0.25">
      <c r="I135"/>
      <c r="K135"/>
      <c r="M135"/>
      <c r="O135"/>
      <c r="Q135"/>
    </row>
    <row r="136" spans="9:17" x14ac:dyDescent="0.25">
      <c r="I136"/>
      <c r="K136"/>
      <c r="M136"/>
      <c r="O136"/>
      <c r="Q136"/>
    </row>
    <row r="137" spans="9:17" x14ac:dyDescent="0.25">
      <c r="I137"/>
      <c r="K137"/>
      <c r="M137"/>
      <c r="O137"/>
      <c r="Q137"/>
    </row>
    <row r="138" spans="9:17" x14ac:dyDescent="0.25">
      <c r="I138"/>
      <c r="K138"/>
      <c r="M138"/>
      <c r="O138"/>
      <c r="Q138"/>
    </row>
    <row r="139" spans="9:17" x14ac:dyDescent="0.25">
      <c r="I139"/>
      <c r="K139"/>
      <c r="M139"/>
      <c r="O139"/>
      <c r="Q139"/>
    </row>
    <row r="140" spans="9:17" x14ac:dyDescent="0.25">
      <c r="I140"/>
      <c r="K140"/>
      <c r="M140"/>
      <c r="O140"/>
      <c r="Q140"/>
    </row>
    <row r="141" spans="9:17" x14ac:dyDescent="0.25">
      <c r="I141"/>
      <c r="K141"/>
      <c r="M141"/>
      <c r="O141"/>
      <c r="Q141"/>
    </row>
    <row r="142" spans="9:17" x14ac:dyDescent="0.25">
      <c r="I142"/>
      <c r="K142"/>
      <c r="M142"/>
      <c r="O142"/>
      <c r="Q142"/>
    </row>
    <row r="143" spans="9:17" x14ac:dyDescent="0.25">
      <c r="I143"/>
      <c r="K143"/>
      <c r="M143"/>
      <c r="O143"/>
      <c r="Q143"/>
    </row>
    <row r="144" spans="9:17" x14ac:dyDescent="0.25">
      <c r="I144"/>
      <c r="K144"/>
      <c r="M144"/>
      <c r="O144"/>
      <c r="Q144"/>
    </row>
    <row r="145" spans="9:17" x14ac:dyDescent="0.25">
      <c r="I145"/>
      <c r="K145"/>
      <c r="M145"/>
      <c r="O145"/>
      <c r="Q145"/>
    </row>
    <row r="146" spans="9:17" x14ac:dyDescent="0.25">
      <c r="I146"/>
      <c r="K146"/>
      <c r="M146"/>
      <c r="O146"/>
      <c r="Q146"/>
    </row>
    <row r="147" spans="9:17" x14ac:dyDescent="0.25">
      <c r="I147"/>
      <c r="K147"/>
      <c r="M147"/>
      <c r="O147"/>
      <c r="Q147"/>
    </row>
    <row r="148" spans="9:17" x14ac:dyDescent="0.25">
      <c r="I148"/>
      <c r="K148"/>
      <c r="M148"/>
      <c r="O148"/>
      <c r="Q148"/>
    </row>
    <row r="149" spans="9:17" x14ac:dyDescent="0.25">
      <c r="I149"/>
      <c r="K149"/>
      <c r="M149"/>
      <c r="O149"/>
      <c r="Q149"/>
    </row>
    <row r="150" spans="9:17" x14ac:dyDescent="0.25">
      <c r="I150"/>
      <c r="K150"/>
      <c r="M150"/>
      <c r="O150"/>
      <c r="Q150"/>
    </row>
    <row r="151" spans="9:17" x14ac:dyDescent="0.25">
      <c r="I151"/>
      <c r="K151"/>
      <c r="M151"/>
      <c r="O151"/>
      <c r="Q151"/>
    </row>
    <row r="152" spans="9:17" x14ac:dyDescent="0.25">
      <c r="I152"/>
      <c r="K152"/>
      <c r="M152"/>
      <c r="O152"/>
      <c r="Q152"/>
    </row>
    <row r="153" spans="9:17" x14ac:dyDescent="0.25">
      <c r="I153"/>
      <c r="K153"/>
      <c r="M153"/>
      <c r="O153"/>
      <c r="Q153"/>
    </row>
    <row r="154" spans="9:17" x14ac:dyDescent="0.25">
      <c r="I154"/>
      <c r="K154"/>
      <c r="M154"/>
      <c r="O154"/>
      <c r="Q154"/>
    </row>
    <row r="155" spans="9:17" x14ac:dyDescent="0.25">
      <c r="I155"/>
      <c r="K155"/>
      <c r="M155"/>
      <c r="O155"/>
      <c r="Q155"/>
    </row>
    <row r="156" spans="9:17" x14ac:dyDescent="0.25">
      <c r="I156"/>
      <c r="K156"/>
      <c r="M156"/>
      <c r="O156"/>
      <c r="Q156"/>
    </row>
    <row r="157" spans="9:17" x14ac:dyDescent="0.25">
      <c r="I157"/>
      <c r="K157"/>
      <c r="M157"/>
      <c r="O157"/>
      <c r="Q157"/>
    </row>
    <row r="158" spans="9:17" x14ac:dyDescent="0.25">
      <c r="I158"/>
      <c r="K158"/>
      <c r="M158"/>
      <c r="O158"/>
      <c r="Q158"/>
    </row>
    <row r="159" spans="9:17" x14ac:dyDescent="0.25">
      <c r="I159"/>
      <c r="K159"/>
      <c r="M159"/>
      <c r="O159"/>
      <c r="Q159"/>
    </row>
    <row r="160" spans="9:17" x14ac:dyDescent="0.25">
      <c r="I160"/>
      <c r="K160"/>
      <c r="M160"/>
      <c r="O160"/>
      <c r="Q160"/>
    </row>
    <row r="161" spans="9:17" x14ac:dyDescent="0.25">
      <c r="I161"/>
      <c r="K161"/>
      <c r="M161"/>
      <c r="O161"/>
      <c r="Q161"/>
    </row>
    <row r="162" spans="9:17" x14ac:dyDescent="0.25">
      <c r="I162"/>
      <c r="K162"/>
      <c r="M162"/>
      <c r="O162"/>
      <c r="Q162"/>
    </row>
    <row r="163" spans="9:17" x14ac:dyDescent="0.25">
      <c r="I163"/>
      <c r="K163"/>
      <c r="M163"/>
      <c r="O163"/>
      <c r="Q163"/>
    </row>
    <row r="164" spans="9:17" x14ac:dyDescent="0.25">
      <c r="I164"/>
      <c r="K164"/>
      <c r="M164"/>
      <c r="O164"/>
      <c r="Q164"/>
    </row>
    <row r="165" spans="9:17" x14ac:dyDescent="0.25">
      <c r="I165"/>
      <c r="K165"/>
      <c r="M165"/>
      <c r="O165"/>
      <c r="Q165"/>
    </row>
    <row r="166" spans="9:17" x14ac:dyDescent="0.25">
      <c r="I166"/>
      <c r="K166"/>
      <c r="M166"/>
      <c r="O166"/>
      <c r="Q166"/>
    </row>
    <row r="167" spans="9:17" x14ac:dyDescent="0.25">
      <c r="I167"/>
      <c r="K167"/>
      <c r="M167"/>
      <c r="O167"/>
      <c r="Q167"/>
    </row>
    <row r="168" spans="9:17" x14ac:dyDescent="0.25">
      <c r="I168"/>
      <c r="K168"/>
      <c r="M168"/>
      <c r="O168"/>
      <c r="Q168"/>
    </row>
    <row r="169" spans="9:17" x14ac:dyDescent="0.25">
      <c r="I169"/>
      <c r="K169"/>
      <c r="M169"/>
      <c r="O169"/>
      <c r="Q169"/>
    </row>
    <row r="170" spans="9:17" x14ac:dyDescent="0.25">
      <c r="I170"/>
      <c r="K170"/>
      <c r="M170"/>
      <c r="O170"/>
      <c r="Q170"/>
    </row>
    <row r="171" spans="9:17" x14ac:dyDescent="0.25">
      <c r="I171"/>
      <c r="K171"/>
      <c r="M171"/>
      <c r="O171"/>
      <c r="Q171"/>
    </row>
    <row r="172" spans="9:17" x14ac:dyDescent="0.25">
      <c r="I172"/>
      <c r="K172"/>
      <c r="M172"/>
      <c r="O172"/>
      <c r="Q172"/>
    </row>
    <row r="173" spans="9:17" x14ac:dyDescent="0.25">
      <c r="I173"/>
      <c r="K173"/>
      <c r="M173"/>
      <c r="O173"/>
      <c r="Q173"/>
    </row>
    <row r="174" spans="9:17" x14ac:dyDescent="0.25">
      <c r="I174"/>
      <c r="K174"/>
      <c r="M174"/>
      <c r="O174"/>
      <c r="Q174"/>
    </row>
    <row r="175" spans="9:17" x14ac:dyDescent="0.25">
      <c r="I175"/>
      <c r="K175"/>
      <c r="M175"/>
      <c r="O175"/>
      <c r="Q175"/>
    </row>
    <row r="176" spans="9:17" x14ac:dyDescent="0.25">
      <c r="I176"/>
      <c r="K176"/>
      <c r="M176"/>
      <c r="O176"/>
      <c r="Q176"/>
    </row>
    <row r="177" spans="9:17" x14ac:dyDescent="0.25">
      <c r="I177"/>
      <c r="K177"/>
      <c r="M177"/>
      <c r="O177"/>
      <c r="Q177"/>
    </row>
    <row r="178" spans="9:17" x14ac:dyDescent="0.25">
      <c r="I178"/>
      <c r="K178"/>
      <c r="M178"/>
      <c r="O178"/>
      <c r="Q178"/>
    </row>
    <row r="179" spans="9:17" x14ac:dyDescent="0.25">
      <c r="I179"/>
      <c r="K179"/>
      <c r="M179"/>
      <c r="O179"/>
      <c r="Q179"/>
    </row>
    <row r="180" spans="9:17" x14ac:dyDescent="0.25">
      <c r="I180"/>
      <c r="K180"/>
      <c r="M180"/>
      <c r="O180"/>
      <c r="Q180"/>
    </row>
    <row r="181" spans="9:17" x14ac:dyDescent="0.25">
      <c r="I181"/>
      <c r="K181"/>
      <c r="M181"/>
      <c r="O181"/>
      <c r="Q181"/>
    </row>
    <row r="182" spans="9:17" x14ac:dyDescent="0.25">
      <c r="I182"/>
      <c r="K182"/>
      <c r="M182"/>
      <c r="O182"/>
      <c r="Q182"/>
    </row>
    <row r="183" spans="9:17" x14ac:dyDescent="0.25">
      <c r="I183"/>
      <c r="K183"/>
      <c r="M183"/>
      <c r="O183"/>
      <c r="Q183"/>
    </row>
    <row r="184" spans="9:17" x14ac:dyDescent="0.25">
      <c r="I184"/>
      <c r="K184"/>
      <c r="M184"/>
      <c r="O184"/>
      <c r="Q184"/>
    </row>
    <row r="185" spans="9:17" x14ac:dyDescent="0.25">
      <c r="I185"/>
      <c r="K185"/>
      <c r="M185"/>
      <c r="O185"/>
      <c r="Q185"/>
    </row>
    <row r="186" spans="9:17" x14ac:dyDescent="0.25">
      <c r="I186"/>
      <c r="K186"/>
      <c r="M186"/>
      <c r="O186"/>
      <c r="Q186"/>
    </row>
    <row r="187" spans="9:17" x14ac:dyDescent="0.25">
      <c r="I187"/>
      <c r="K187"/>
      <c r="M187"/>
      <c r="O187"/>
      <c r="Q187"/>
    </row>
    <row r="188" spans="9:17" x14ac:dyDescent="0.25">
      <c r="I188"/>
      <c r="K188"/>
      <c r="M188"/>
      <c r="O188"/>
      <c r="Q188"/>
    </row>
    <row r="189" spans="9:17" x14ac:dyDescent="0.25">
      <c r="I189"/>
      <c r="K189"/>
      <c r="M189"/>
      <c r="O189"/>
      <c r="Q189"/>
    </row>
    <row r="190" spans="9:17" x14ac:dyDescent="0.25">
      <c r="I190"/>
      <c r="K190"/>
      <c r="M190"/>
      <c r="O190"/>
      <c r="Q190"/>
    </row>
    <row r="191" spans="9:17" x14ac:dyDescent="0.25">
      <c r="I191"/>
      <c r="K191"/>
      <c r="M191"/>
      <c r="O191"/>
      <c r="Q191"/>
    </row>
    <row r="192" spans="9:17" x14ac:dyDescent="0.25">
      <c r="I192"/>
      <c r="K192"/>
      <c r="M192"/>
      <c r="O192"/>
      <c r="Q192"/>
    </row>
    <row r="193" spans="9:17" x14ac:dyDescent="0.25">
      <c r="I193"/>
      <c r="K193"/>
      <c r="M193"/>
      <c r="O193"/>
      <c r="Q193"/>
    </row>
    <row r="194" spans="9:17" x14ac:dyDescent="0.25">
      <c r="I194"/>
      <c r="K194"/>
      <c r="M194"/>
      <c r="O194"/>
      <c r="Q194"/>
    </row>
    <row r="195" spans="9:17" x14ac:dyDescent="0.25">
      <c r="I195"/>
      <c r="K195"/>
      <c r="M195"/>
      <c r="O195"/>
      <c r="Q195"/>
    </row>
    <row r="196" spans="9:17" x14ac:dyDescent="0.25">
      <c r="I196"/>
      <c r="K196"/>
      <c r="M196"/>
      <c r="O196"/>
      <c r="Q196"/>
    </row>
    <row r="197" spans="9:17" x14ac:dyDescent="0.25">
      <c r="I197"/>
      <c r="K197"/>
      <c r="M197"/>
      <c r="O197"/>
      <c r="Q197"/>
    </row>
    <row r="198" spans="9:17" x14ac:dyDescent="0.25">
      <c r="I198"/>
      <c r="K198"/>
      <c r="M198"/>
      <c r="O198"/>
      <c r="Q198"/>
    </row>
    <row r="199" spans="9:17" x14ac:dyDescent="0.25">
      <c r="I199"/>
      <c r="K199"/>
      <c r="M199"/>
      <c r="O199"/>
      <c r="Q199"/>
    </row>
    <row r="200" spans="9:17" x14ac:dyDescent="0.25">
      <c r="I200"/>
      <c r="K200"/>
      <c r="M200"/>
      <c r="O200"/>
      <c r="Q200"/>
    </row>
    <row r="201" spans="9:17" x14ac:dyDescent="0.25">
      <c r="I201"/>
      <c r="K201"/>
      <c r="M201"/>
      <c r="O201"/>
      <c r="Q201"/>
    </row>
    <row r="202" spans="9:17" x14ac:dyDescent="0.25">
      <c r="I202"/>
      <c r="K202"/>
      <c r="M202"/>
      <c r="O202"/>
      <c r="Q202"/>
    </row>
    <row r="203" spans="9:17" x14ac:dyDescent="0.25">
      <c r="I203"/>
      <c r="K203"/>
      <c r="M203"/>
      <c r="O203"/>
      <c r="Q203"/>
    </row>
    <row r="204" spans="9:17" x14ac:dyDescent="0.25">
      <c r="I204"/>
      <c r="K204"/>
      <c r="M204"/>
      <c r="O204"/>
      <c r="Q204"/>
    </row>
    <row r="205" spans="9:17" x14ac:dyDescent="0.25">
      <c r="I205"/>
      <c r="K205"/>
      <c r="M205"/>
      <c r="O205"/>
      <c r="Q205"/>
    </row>
    <row r="206" spans="9:17" x14ac:dyDescent="0.25">
      <c r="I206"/>
      <c r="K206"/>
      <c r="M206"/>
      <c r="O206"/>
      <c r="Q206"/>
    </row>
    <row r="207" spans="9:17" x14ac:dyDescent="0.25">
      <c r="I207"/>
      <c r="K207"/>
      <c r="M207"/>
      <c r="O207"/>
      <c r="Q207"/>
    </row>
    <row r="208" spans="9:17" x14ac:dyDescent="0.25">
      <c r="I208"/>
      <c r="K208"/>
      <c r="M208"/>
      <c r="O208"/>
      <c r="Q208"/>
    </row>
    <row r="209" spans="9:17" x14ac:dyDescent="0.25">
      <c r="I209"/>
      <c r="K209"/>
      <c r="M209"/>
      <c r="O209"/>
      <c r="Q209"/>
    </row>
    <row r="210" spans="9:17" x14ac:dyDescent="0.25">
      <c r="I210"/>
      <c r="K210"/>
      <c r="M210"/>
      <c r="O210"/>
      <c r="Q210"/>
    </row>
    <row r="211" spans="9:17" x14ac:dyDescent="0.25">
      <c r="I211"/>
      <c r="K211"/>
      <c r="M211"/>
      <c r="O211"/>
      <c r="Q211"/>
    </row>
    <row r="212" spans="9:17" x14ac:dyDescent="0.25">
      <c r="I212"/>
      <c r="K212"/>
      <c r="M212"/>
      <c r="O212"/>
      <c r="Q212"/>
    </row>
    <row r="213" spans="9:17" x14ac:dyDescent="0.25">
      <c r="I213"/>
      <c r="K213"/>
      <c r="M213"/>
      <c r="O213"/>
      <c r="Q213"/>
    </row>
    <row r="214" spans="9:17" x14ac:dyDescent="0.25">
      <c r="I214"/>
      <c r="K214"/>
      <c r="M214"/>
      <c r="O214"/>
      <c r="Q214"/>
    </row>
    <row r="215" spans="9:17" x14ac:dyDescent="0.25">
      <c r="I215"/>
      <c r="K215"/>
      <c r="M215"/>
      <c r="O215"/>
      <c r="Q215"/>
    </row>
    <row r="216" spans="9:17" x14ac:dyDescent="0.25">
      <c r="I216"/>
      <c r="K216"/>
      <c r="M216"/>
      <c r="O216"/>
      <c r="Q216"/>
    </row>
    <row r="217" spans="9:17" x14ac:dyDescent="0.25">
      <c r="I217"/>
      <c r="K217"/>
      <c r="M217"/>
      <c r="O217"/>
      <c r="Q217"/>
    </row>
    <row r="218" spans="9:17" x14ac:dyDescent="0.25">
      <c r="I218"/>
      <c r="K218"/>
      <c r="M218"/>
      <c r="O218"/>
      <c r="Q218"/>
    </row>
    <row r="219" spans="9:17" x14ac:dyDescent="0.25">
      <c r="I219"/>
      <c r="K219"/>
      <c r="M219"/>
      <c r="O219"/>
      <c r="Q219"/>
    </row>
    <row r="220" spans="9:17" x14ac:dyDescent="0.25">
      <c r="I220"/>
      <c r="K220"/>
      <c r="M220"/>
      <c r="O220"/>
      <c r="Q220"/>
    </row>
    <row r="221" spans="9:17" x14ac:dyDescent="0.25">
      <c r="I221"/>
      <c r="K221"/>
      <c r="M221"/>
      <c r="O221"/>
      <c r="Q221"/>
    </row>
    <row r="222" spans="9:17" x14ac:dyDescent="0.25">
      <c r="I222"/>
      <c r="K222"/>
      <c r="M222"/>
      <c r="O222"/>
      <c r="Q222"/>
    </row>
    <row r="223" spans="9:17" x14ac:dyDescent="0.25">
      <c r="I223"/>
      <c r="K223"/>
      <c r="M223"/>
      <c r="O223"/>
      <c r="Q223"/>
    </row>
    <row r="224" spans="9:17" x14ac:dyDescent="0.25">
      <c r="I224"/>
      <c r="K224"/>
      <c r="M224"/>
      <c r="O224"/>
      <c r="Q224"/>
    </row>
    <row r="225" spans="9:17" x14ac:dyDescent="0.25">
      <c r="I225"/>
      <c r="K225"/>
      <c r="M225"/>
      <c r="O225"/>
      <c r="Q225"/>
    </row>
    <row r="226" spans="9:17" x14ac:dyDescent="0.25">
      <c r="I226"/>
      <c r="K226"/>
      <c r="M226"/>
      <c r="O226"/>
      <c r="Q226"/>
    </row>
    <row r="227" spans="9:17" x14ac:dyDescent="0.25">
      <c r="I227"/>
      <c r="K227"/>
      <c r="M227"/>
      <c r="O227"/>
      <c r="Q227"/>
    </row>
    <row r="228" spans="9:17" x14ac:dyDescent="0.25">
      <c r="I228"/>
      <c r="K228"/>
      <c r="M228"/>
      <c r="O228"/>
      <c r="Q228"/>
    </row>
    <row r="229" spans="9:17" x14ac:dyDescent="0.25">
      <c r="I229"/>
      <c r="K229"/>
      <c r="M229"/>
      <c r="O229"/>
      <c r="Q229"/>
    </row>
    <row r="230" spans="9:17" x14ac:dyDescent="0.25">
      <c r="I230"/>
      <c r="K230"/>
      <c r="M230"/>
      <c r="O230"/>
      <c r="Q230"/>
    </row>
    <row r="231" spans="9:17" x14ac:dyDescent="0.25">
      <c r="I231"/>
      <c r="K231"/>
      <c r="M231"/>
      <c r="O231"/>
      <c r="Q231"/>
    </row>
    <row r="232" spans="9:17" x14ac:dyDescent="0.25">
      <c r="I232"/>
      <c r="K232"/>
      <c r="M232"/>
      <c r="O232"/>
      <c r="Q232"/>
    </row>
    <row r="233" spans="9:17" x14ac:dyDescent="0.25">
      <c r="I233"/>
      <c r="K233"/>
      <c r="M233"/>
      <c r="O233"/>
      <c r="Q233"/>
    </row>
    <row r="234" spans="9:17" x14ac:dyDescent="0.25">
      <c r="I234"/>
      <c r="K234"/>
      <c r="M234"/>
      <c r="O234"/>
      <c r="Q234"/>
    </row>
    <row r="235" spans="9:17" x14ac:dyDescent="0.25">
      <c r="I235"/>
      <c r="K235"/>
      <c r="M235"/>
      <c r="O235"/>
      <c r="Q235"/>
    </row>
    <row r="236" spans="9:17" x14ac:dyDescent="0.25">
      <c r="I236"/>
      <c r="K236"/>
      <c r="M236"/>
      <c r="O236"/>
      <c r="Q236"/>
    </row>
    <row r="237" spans="9:17" x14ac:dyDescent="0.25">
      <c r="I237"/>
      <c r="K237"/>
      <c r="M237"/>
      <c r="O237"/>
      <c r="Q237"/>
    </row>
    <row r="238" spans="9:17" x14ac:dyDescent="0.25">
      <c r="I238"/>
      <c r="K238"/>
      <c r="M238"/>
      <c r="O238"/>
      <c r="Q238"/>
    </row>
    <row r="239" spans="9:17" x14ac:dyDescent="0.25">
      <c r="I239"/>
      <c r="K239"/>
      <c r="M239"/>
      <c r="O239"/>
      <c r="Q239"/>
    </row>
    <row r="240" spans="9:17" x14ac:dyDescent="0.25">
      <c r="I240"/>
      <c r="K240"/>
      <c r="M240"/>
      <c r="O240"/>
      <c r="Q240"/>
    </row>
    <row r="241" spans="9:17" x14ac:dyDescent="0.25">
      <c r="I241"/>
      <c r="K241"/>
      <c r="M241"/>
      <c r="O241"/>
      <c r="Q241"/>
    </row>
    <row r="242" spans="9:17" x14ac:dyDescent="0.25">
      <c r="I242"/>
      <c r="K242"/>
      <c r="M242"/>
      <c r="O242"/>
      <c r="Q242"/>
    </row>
    <row r="243" spans="9:17" x14ac:dyDescent="0.25">
      <c r="I243"/>
      <c r="K243"/>
      <c r="M243"/>
      <c r="O243"/>
      <c r="Q243"/>
    </row>
    <row r="244" spans="9:17" x14ac:dyDescent="0.25">
      <c r="I244"/>
      <c r="K244"/>
      <c r="M244"/>
      <c r="O244"/>
      <c r="Q244"/>
    </row>
    <row r="245" spans="9:17" x14ac:dyDescent="0.25">
      <c r="I245"/>
      <c r="K245"/>
      <c r="M245"/>
      <c r="O245"/>
      <c r="Q245"/>
    </row>
    <row r="246" spans="9:17" x14ac:dyDescent="0.25">
      <c r="I246"/>
      <c r="K246"/>
      <c r="M246"/>
      <c r="O246"/>
      <c r="Q246"/>
    </row>
    <row r="247" spans="9:17" x14ac:dyDescent="0.25">
      <c r="I247"/>
      <c r="K247"/>
      <c r="M247"/>
      <c r="O247"/>
      <c r="Q247"/>
    </row>
    <row r="248" spans="9:17" x14ac:dyDescent="0.25">
      <c r="I248"/>
      <c r="K248"/>
      <c r="M248"/>
      <c r="O248"/>
      <c r="Q248"/>
    </row>
    <row r="249" spans="9:17" x14ac:dyDescent="0.25">
      <c r="I249"/>
      <c r="K249"/>
      <c r="M249"/>
      <c r="O249"/>
      <c r="Q249"/>
    </row>
  </sheetData>
  <mergeCells count="21">
    <mergeCell ref="E4:E6"/>
    <mergeCell ref="G4:G6"/>
    <mergeCell ref="H4:O4"/>
    <mergeCell ref="A8:A26"/>
    <mergeCell ref="A4:A6"/>
    <mergeCell ref="B4:B6"/>
    <mergeCell ref="C4:C6"/>
    <mergeCell ref="B20:B26"/>
    <mergeCell ref="B8:B13"/>
    <mergeCell ref="B14:B19"/>
    <mergeCell ref="D4:D6"/>
    <mergeCell ref="T4:T6"/>
    <mergeCell ref="U4:U6"/>
    <mergeCell ref="H5:I5"/>
    <mergeCell ref="F4:F6"/>
    <mergeCell ref="P4:Q5"/>
    <mergeCell ref="R4:R6"/>
    <mergeCell ref="S4:S6"/>
    <mergeCell ref="J5:K5"/>
    <mergeCell ref="L5:M5"/>
    <mergeCell ref="N5:O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6">
      <formula1>$C$1:$E$1</formula1>
    </dataValidation>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27"/>
  <sheetViews>
    <sheetView tabSelected="1" topLeftCell="F1" zoomScale="80" zoomScaleNormal="80" workbookViewId="0">
      <pane ySplit="5" topLeftCell="A15" activePane="bottomLeft" state="frozen"/>
      <selection activeCell="R5" sqref="R5"/>
      <selection pane="bottomLeft" activeCell="H17" sqref="H17"/>
    </sheetView>
  </sheetViews>
  <sheetFormatPr baseColWidth="10" defaultRowHeight="15" x14ac:dyDescent="0.25"/>
  <cols>
    <col min="1" max="2" width="35.7109375" customWidth="1"/>
    <col min="3" max="3" width="27.42578125" customWidth="1"/>
    <col min="4" max="4" width="35.7109375" style="462" customWidth="1"/>
    <col min="5" max="5" width="59.85546875" style="462" customWidth="1"/>
    <col min="6" max="6" width="27.42578125" customWidth="1"/>
    <col min="7" max="7" width="16" customWidth="1"/>
    <col min="8" max="8" width="57" customWidth="1"/>
    <col min="9" max="9" width="15.28515625" customWidth="1"/>
    <col min="10" max="10" width="11.5703125" style="512"/>
    <col min="11" max="11" width="19.28515625" customWidth="1"/>
    <col min="12" max="12" width="12.85546875" style="512" customWidth="1"/>
    <col min="13" max="13" width="14.28515625" customWidth="1"/>
    <col min="14" max="14" width="11.5703125" style="542"/>
    <col min="15" max="15" width="14.140625" customWidth="1"/>
    <col min="16" max="16" width="11.5703125" style="542"/>
    <col min="17" max="17" width="20.28515625" customWidth="1"/>
    <col min="18" max="18" width="18.28515625" style="512" customWidth="1"/>
    <col min="19" max="19" width="1.5703125" hidden="1" customWidth="1"/>
    <col min="20" max="20" width="37" customWidth="1"/>
    <col min="21" max="21" width="32.85546875" customWidth="1"/>
    <col min="22" max="22" width="22.28515625" customWidth="1"/>
    <col min="23" max="23" width="17" customWidth="1"/>
  </cols>
  <sheetData>
    <row r="1" spans="1:23" ht="18.75" x14ac:dyDescent="0.25">
      <c r="B1" s="502" t="s">
        <v>1583</v>
      </c>
      <c r="C1" s="502" t="s">
        <v>1584</v>
      </c>
      <c r="D1" s="502"/>
      <c r="E1" s="502" t="s">
        <v>1585</v>
      </c>
      <c r="F1" s="502" t="s">
        <v>1586</v>
      </c>
      <c r="G1" s="284"/>
      <c r="H1" s="284"/>
      <c r="I1" s="284" t="s">
        <v>477</v>
      </c>
      <c r="K1" s="284"/>
      <c r="L1" s="534"/>
      <c r="M1" s="284"/>
      <c r="N1" s="537"/>
      <c r="O1" s="284"/>
      <c r="P1" s="537"/>
      <c r="Q1" s="284"/>
      <c r="R1" s="534"/>
      <c r="S1" s="284"/>
      <c r="T1" s="284"/>
      <c r="U1" s="284"/>
      <c r="V1" s="284"/>
      <c r="W1" s="284"/>
    </row>
    <row r="2" spans="1:23" x14ac:dyDescent="0.25">
      <c r="A2" s="269" t="s">
        <v>1338</v>
      </c>
      <c r="B2" s="269"/>
      <c r="C2" s="269"/>
      <c r="D2" s="269"/>
      <c r="E2" s="269"/>
      <c r="F2" s="269"/>
      <c r="G2" s="269"/>
      <c r="H2" s="269"/>
      <c r="I2" s="269"/>
      <c r="J2" s="535"/>
      <c r="K2" s="269"/>
      <c r="L2" s="535"/>
      <c r="M2" s="269"/>
      <c r="N2" s="538"/>
      <c r="O2" s="269"/>
      <c r="P2" s="538"/>
      <c r="Q2" s="269"/>
      <c r="R2" s="535">
        <f>SUM(N8+L8+J8)</f>
        <v>260625</v>
      </c>
      <c r="S2" s="269"/>
      <c r="T2" s="269"/>
      <c r="U2" s="269"/>
      <c r="V2" s="269"/>
      <c r="W2" s="269"/>
    </row>
    <row r="3" spans="1:23" ht="15" customHeight="1" x14ac:dyDescent="0.25">
      <c r="A3" s="666" t="s">
        <v>96</v>
      </c>
      <c r="B3" s="665" t="s">
        <v>110</v>
      </c>
      <c r="C3" s="668" t="s">
        <v>1514</v>
      </c>
      <c r="D3" s="665" t="s">
        <v>1705</v>
      </c>
      <c r="E3" s="668" t="s">
        <v>1515</v>
      </c>
      <c r="F3" s="668" t="s">
        <v>86</v>
      </c>
      <c r="G3" s="668" t="s">
        <v>390</v>
      </c>
      <c r="H3" s="668" t="s">
        <v>87</v>
      </c>
      <c r="I3" s="671" t="s">
        <v>99</v>
      </c>
      <c r="J3" s="677"/>
      <c r="K3" s="677"/>
      <c r="L3" s="677"/>
      <c r="M3" s="677"/>
      <c r="N3" s="677"/>
      <c r="O3" s="677"/>
      <c r="P3" s="672"/>
      <c r="Q3" s="673" t="s">
        <v>100</v>
      </c>
      <c r="R3" s="674"/>
      <c r="S3" s="665" t="s">
        <v>101</v>
      </c>
      <c r="T3" s="665" t="s">
        <v>102</v>
      </c>
      <c r="U3" s="665" t="s">
        <v>109</v>
      </c>
      <c r="V3" s="665" t="s">
        <v>108</v>
      </c>
      <c r="W3" s="662" t="s">
        <v>88</v>
      </c>
    </row>
    <row r="4" spans="1:23" ht="15" customHeight="1" x14ac:dyDescent="0.25">
      <c r="A4" s="666"/>
      <c r="B4" s="666"/>
      <c r="C4" s="669"/>
      <c r="D4" s="666"/>
      <c r="E4" s="669"/>
      <c r="F4" s="669"/>
      <c r="G4" s="669"/>
      <c r="H4" s="669"/>
      <c r="I4" s="671" t="s">
        <v>103</v>
      </c>
      <c r="J4" s="672"/>
      <c r="K4" s="671" t="s">
        <v>104</v>
      </c>
      <c r="L4" s="672"/>
      <c r="M4" s="671" t="s">
        <v>105</v>
      </c>
      <c r="N4" s="672"/>
      <c r="O4" s="671" t="s">
        <v>106</v>
      </c>
      <c r="P4" s="672"/>
      <c r="Q4" s="675"/>
      <c r="R4" s="676"/>
      <c r="S4" s="666"/>
      <c r="T4" s="666"/>
      <c r="U4" s="666"/>
      <c r="V4" s="666"/>
      <c r="W4" s="663"/>
    </row>
    <row r="5" spans="1:23" ht="30" customHeight="1" x14ac:dyDescent="0.25">
      <c r="A5" s="667"/>
      <c r="B5" s="667"/>
      <c r="C5" s="670"/>
      <c r="D5" s="667"/>
      <c r="E5" s="670"/>
      <c r="F5" s="670"/>
      <c r="G5" s="670"/>
      <c r="H5" s="670"/>
      <c r="I5" s="438" t="s">
        <v>107</v>
      </c>
      <c r="J5" s="510" t="s">
        <v>12</v>
      </c>
      <c r="K5" s="438" t="s">
        <v>107</v>
      </c>
      <c r="L5" s="510" t="s">
        <v>12</v>
      </c>
      <c r="M5" s="438" t="s">
        <v>107</v>
      </c>
      <c r="N5" s="539" t="s">
        <v>12</v>
      </c>
      <c r="O5" s="438" t="s">
        <v>107</v>
      </c>
      <c r="P5" s="539" t="s">
        <v>12</v>
      </c>
      <c r="Q5" s="438" t="s">
        <v>107</v>
      </c>
      <c r="R5" s="510" t="s">
        <v>12</v>
      </c>
      <c r="S5" s="667"/>
      <c r="T5" s="667"/>
      <c r="U5" s="667"/>
      <c r="V5" s="667"/>
      <c r="W5" s="664"/>
    </row>
    <row r="6" spans="1:23" s="365" customFormat="1" ht="15.75" x14ac:dyDescent="0.25">
      <c r="A6" s="439"/>
      <c r="B6" s="440"/>
      <c r="C6" s="441"/>
      <c r="D6" s="440"/>
      <c r="E6" s="441"/>
      <c r="F6" s="441"/>
      <c r="G6" s="442"/>
      <c r="H6" s="441"/>
      <c r="I6" s="443"/>
      <c r="J6" s="511"/>
      <c r="K6" s="443"/>
      <c r="L6" s="511"/>
      <c r="M6" s="443"/>
      <c r="N6" s="540"/>
      <c r="O6" s="443"/>
      <c r="P6" s="540"/>
      <c r="Q6" s="443"/>
      <c r="R6" s="511"/>
      <c r="S6" s="444"/>
      <c r="T6" s="444"/>
      <c r="U6" s="444"/>
      <c r="V6" s="444"/>
      <c r="W6" s="445"/>
    </row>
    <row r="7" spans="1:23" ht="209.25" customHeight="1" x14ac:dyDescent="0.25">
      <c r="A7" s="687"/>
      <c r="B7" s="687" t="s">
        <v>1339</v>
      </c>
      <c r="C7" s="703" t="s">
        <v>1584</v>
      </c>
      <c r="D7" s="687" t="s">
        <v>1714</v>
      </c>
      <c r="E7" s="544" t="s">
        <v>1934</v>
      </c>
      <c r="F7" s="544" t="s">
        <v>1937</v>
      </c>
      <c r="G7" s="543" t="s">
        <v>1706</v>
      </c>
      <c r="H7" s="544" t="s">
        <v>1936</v>
      </c>
      <c r="I7" s="636">
        <v>4</v>
      </c>
      <c r="J7" s="546">
        <v>0</v>
      </c>
      <c r="K7" s="636">
        <v>4</v>
      </c>
      <c r="L7" s="546">
        <v>0</v>
      </c>
      <c r="M7" s="636">
        <v>4</v>
      </c>
      <c r="N7" s="546">
        <v>0</v>
      </c>
      <c r="O7" s="636">
        <v>4</v>
      </c>
      <c r="P7" s="546">
        <v>0</v>
      </c>
      <c r="Q7" s="635">
        <f>O7+M7+K7+I7</f>
        <v>16</v>
      </c>
      <c r="R7" s="546">
        <v>0</v>
      </c>
      <c r="S7" s="543"/>
      <c r="T7" s="543" t="s">
        <v>1707</v>
      </c>
      <c r="U7" s="543" t="s">
        <v>1708</v>
      </c>
      <c r="V7" s="543" t="s">
        <v>1750</v>
      </c>
      <c r="W7" s="543" t="s">
        <v>1710</v>
      </c>
    </row>
    <row r="8" spans="1:23" s="549" customFormat="1" ht="129" customHeight="1" x14ac:dyDescent="0.25">
      <c r="A8" s="688"/>
      <c r="B8" s="688"/>
      <c r="C8" s="704"/>
      <c r="D8" s="689"/>
      <c r="E8" s="633" t="s">
        <v>1712</v>
      </c>
      <c r="F8" s="633" t="s">
        <v>1938</v>
      </c>
      <c r="G8" s="554" t="s">
        <v>1713</v>
      </c>
      <c r="H8" s="629" t="s">
        <v>1715</v>
      </c>
      <c r="I8" s="638">
        <v>8</v>
      </c>
      <c r="J8" s="550">
        <f>R8/3</f>
        <v>86875</v>
      </c>
      <c r="K8" s="638">
        <f>Q8/3</f>
        <v>8</v>
      </c>
      <c r="L8" s="550">
        <f>R8/3</f>
        <v>86875</v>
      </c>
      <c r="M8" s="638">
        <f>Q8/3</f>
        <v>8</v>
      </c>
      <c r="N8" s="551">
        <f>R8/3</f>
        <v>86875</v>
      </c>
      <c r="O8" s="637">
        <v>0</v>
      </c>
      <c r="P8" s="558">
        <v>0</v>
      </c>
      <c r="Q8" s="635">
        <v>24</v>
      </c>
      <c r="R8" s="550">
        <f>'5. ACTIVIDADES ESPECIALES'!D27</f>
        <v>260625</v>
      </c>
      <c r="S8" s="543"/>
      <c r="T8" s="555" t="s">
        <v>1712</v>
      </c>
      <c r="U8" s="555" t="s">
        <v>1754</v>
      </c>
      <c r="V8" s="591" t="s">
        <v>1750</v>
      </c>
      <c r="W8" s="555" t="s">
        <v>1716</v>
      </c>
    </row>
    <row r="9" spans="1:23" ht="123" customHeight="1" x14ac:dyDescent="0.25">
      <c r="A9" s="688"/>
      <c r="B9" s="688"/>
      <c r="C9" s="704"/>
      <c r="D9" s="687" t="s">
        <v>1717</v>
      </c>
      <c r="E9" s="634" t="s">
        <v>1720</v>
      </c>
      <c r="F9" s="544" t="s">
        <v>1939</v>
      </c>
      <c r="G9" s="543" t="s">
        <v>1718</v>
      </c>
      <c r="H9" s="544" t="s">
        <v>1721</v>
      </c>
      <c r="I9" s="545">
        <v>0</v>
      </c>
      <c r="J9" s="546">
        <v>0</v>
      </c>
      <c r="K9" s="545">
        <v>0.25</v>
      </c>
      <c r="L9" s="546">
        <v>0</v>
      </c>
      <c r="M9" s="545">
        <v>0.25</v>
      </c>
      <c r="N9" s="547">
        <v>0</v>
      </c>
      <c r="O9" s="545">
        <v>0.5</v>
      </c>
      <c r="P9" s="547">
        <v>0</v>
      </c>
      <c r="Q9" s="545">
        <f>I9+K9+M9+O9</f>
        <v>1</v>
      </c>
      <c r="R9" s="546">
        <f t="shared" ref="R9" si="0">J9+L9+N9+P9</f>
        <v>0</v>
      </c>
      <c r="S9" s="543"/>
      <c r="T9" s="543" t="s">
        <v>1722</v>
      </c>
      <c r="U9" s="543" t="s">
        <v>1723</v>
      </c>
      <c r="V9" s="543" t="s">
        <v>1750</v>
      </c>
      <c r="W9" s="543" t="s">
        <v>1724</v>
      </c>
    </row>
    <row r="10" spans="1:23" ht="163.5" customHeight="1" x14ac:dyDescent="0.25">
      <c r="A10" s="688"/>
      <c r="B10" s="688"/>
      <c r="C10" s="704"/>
      <c r="D10" s="688"/>
      <c r="E10" s="544" t="s">
        <v>1940</v>
      </c>
      <c r="F10" s="543" t="s">
        <v>1727</v>
      </c>
      <c r="G10" s="543" t="s">
        <v>1711</v>
      </c>
      <c r="H10" s="544" t="s">
        <v>1950</v>
      </c>
      <c r="I10" s="545">
        <v>0</v>
      </c>
      <c r="K10" s="545">
        <v>0</v>
      </c>
      <c r="L10" s="546">
        <v>0</v>
      </c>
      <c r="M10" s="545">
        <v>0</v>
      </c>
      <c r="N10" s="559">
        <v>0</v>
      </c>
      <c r="O10" s="545">
        <v>0</v>
      </c>
      <c r="P10" s="547">
        <f>R10</f>
        <v>110625</v>
      </c>
      <c r="Q10" s="548">
        <v>1</v>
      </c>
      <c r="R10" s="546">
        <f>'5. ACTIVIDADES ESPECIALES'!D47</f>
        <v>110625</v>
      </c>
      <c r="S10" s="543"/>
      <c r="T10" s="543" t="s">
        <v>1913</v>
      </c>
      <c r="U10" s="543" t="s">
        <v>1726</v>
      </c>
      <c r="V10" s="543" t="s">
        <v>1750</v>
      </c>
      <c r="W10" s="543" t="s">
        <v>1725</v>
      </c>
    </row>
    <row r="11" spans="1:23" s="561" customFormat="1" ht="94.5" x14ac:dyDescent="0.25">
      <c r="A11" s="688"/>
      <c r="B11" s="688"/>
      <c r="C11" s="704"/>
      <c r="D11" s="689"/>
      <c r="E11" s="544" t="s">
        <v>1941</v>
      </c>
      <c r="F11" s="543" t="s">
        <v>1728</v>
      </c>
      <c r="G11" s="543" t="s">
        <v>1719</v>
      </c>
      <c r="H11" s="544" t="s">
        <v>1729</v>
      </c>
      <c r="I11" s="545">
        <v>0</v>
      </c>
      <c r="J11" s="546">
        <v>0</v>
      </c>
      <c r="K11" s="545">
        <v>1</v>
      </c>
      <c r="L11" s="546">
        <f>R11</f>
        <v>65750</v>
      </c>
      <c r="M11" s="545">
        <v>0</v>
      </c>
      <c r="N11" s="559">
        <v>0</v>
      </c>
      <c r="O11" s="545">
        <v>0</v>
      </c>
      <c r="P11" s="559">
        <v>0</v>
      </c>
      <c r="Q11" s="560">
        <f>I11+K11+M11+O11</f>
        <v>1</v>
      </c>
      <c r="R11" s="546">
        <f>'5. ACTIVIDADES ESPECIALES'!D67</f>
        <v>65750</v>
      </c>
      <c r="S11" s="543"/>
      <c r="T11" s="543" t="s">
        <v>1912</v>
      </c>
      <c r="U11" s="543" t="s">
        <v>1726</v>
      </c>
      <c r="V11" s="543" t="s">
        <v>1730</v>
      </c>
      <c r="W11" s="543" t="s">
        <v>1725</v>
      </c>
    </row>
    <row r="12" spans="1:23" ht="210" customHeight="1" x14ac:dyDescent="0.25">
      <c r="A12" s="688"/>
      <c r="B12" s="688"/>
      <c r="C12" s="704"/>
      <c r="D12" s="705" t="s">
        <v>1731</v>
      </c>
      <c r="E12" s="544" t="s">
        <v>1942</v>
      </c>
      <c r="F12" s="543" t="s">
        <v>1733</v>
      </c>
      <c r="G12" s="543" t="s">
        <v>1737</v>
      </c>
      <c r="H12" s="544" t="s">
        <v>1740</v>
      </c>
      <c r="I12" s="545">
        <v>0</v>
      </c>
      <c r="J12" s="546">
        <v>0</v>
      </c>
      <c r="K12" s="545">
        <v>0</v>
      </c>
      <c r="L12" s="546">
        <v>0</v>
      </c>
      <c r="M12" s="545">
        <v>1</v>
      </c>
      <c r="N12" s="547">
        <f>'1. TALLERES SEMINARIOS'!D10</f>
        <v>403375</v>
      </c>
      <c r="O12" s="545">
        <v>0</v>
      </c>
      <c r="P12" s="547">
        <v>0</v>
      </c>
      <c r="Q12" s="545">
        <f>I12+K12+M12+O12</f>
        <v>1</v>
      </c>
      <c r="R12" s="546">
        <f>'1. TALLERES SEMINARIOS'!D10</f>
        <v>403375</v>
      </c>
      <c r="S12" s="543"/>
      <c r="T12" s="543" t="s">
        <v>1910</v>
      </c>
      <c r="U12" s="543" t="s">
        <v>1708</v>
      </c>
      <c r="V12" s="543" t="s">
        <v>1744</v>
      </c>
      <c r="W12" s="543" t="s">
        <v>1745</v>
      </c>
    </row>
    <row r="13" spans="1:23" ht="188.25" customHeight="1" x14ac:dyDescent="0.25">
      <c r="A13" s="688"/>
      <c r="B13" s="688"/>
      <c r="C13" s="704"/>
      <c r="D13" s="706"/>
      <c r="E13" s="544" t="s">
        <v>1943</v>
      </c>
      <c r="F13" s="543" t="s">
        <v>1734</v>
      </c>
      <c r="G13" s="543" t="s">
        <v>1743</v>
      </c>
      <c r="H13" s="544" t="s">
        <v>1763</v>
      </c>
      <c r="I13" s="545">
        <v>0</v>
      </c>
      <c r="J13" s="546">
        <v>0</v>
      </c>
      <c r="K13" s="545">
        <v>0</v>
      </c>
      <c r="L13" s="546">
        <v>0</v>
      </c>
      <c r="M13" s="545">
        <v>0.5</v>
      </c>
      <c r="N13" s="547">
        <f>R13*0.5</f>
        <v>110850.64449999999</v>
      </c>
      <c r="O13" s="545">
        <v>0.5</v>
      </c>
      <c r="P13" s="547">
        <f>R13*0.5</f>
        <v>110850.64449999999</v>
      </c>
      <c r="Q13" s="552">
        <f t="shared" ref="Q13" si="1">I13+K13+M13+O13</f>
        <v>1</v>
      </c>
      <c r="R13" s="546">
        <f>'5. ACTIVIDADES ESPECIALES'!D87</f>
        <v>221701.28899999999</v>
      </c>
      <c r="S13" s="543"/>
      <c r="T13" s="543" t="s">
        <v>1746</v>
      </c>
      <c r="U13" s="543" t="s">
        <v>1747</v>
      </c>
      <c r="V13" s="543" t="s">
        <v>1709</v>
      </c>
      <c r="W13" s="543" t="s">
        <v>1748</v>
      </c>
    </row>
    <row r="14" spans="1:23" ht="90.75" customHeight="1" x14ac:dyDescent="0.25">
      <c r="A14" s="688"/>
      <c r="B14" s="688"/>
      <c r="C14" s="704"/>
      <c r="D14" s="706"/>
      <c r="E14" s="544" t="s">
        <v>1944</v>
      </c>
      <c r="F14" s="543" t="s">
        <v>1735</v>
      </c>
      <c r="G14" s="543" t="s">
        <v>1738</v>
      </c>
      <c r="H14" s="544" t="s">
        <v>1741</v>
      </c>
      <c r="I14" s="545">
        <v>0</v>
      </c>
      <c r="J14" s="546">
        <v>0</v>
      </c>
      <c r="K14" s="545">
        <v>0</v>
      </c>
      <c r="L14" s="546">
        <v>0</v>
      </c>
      <c r="M14" s="545">
        <v>0</v>
      </c>
      <c r="N14" s="547">
        <v>0</v>
      </c>
      <c r="O14" s="545">
        <v>0</v>
      </c>
      <c r="P14" s="547">
        <v>0</v>
      </c>
      <c r="Q14" s="545">
        <f>I14+K14+M14+O14</f>
        <v>0</v>
      </c>
      <c r="R14" s="546">
        <f>J14+L14+N14+P14</f>
        <v>0</v>
      </c>
      <c r="S14" s="543"/>
      <c r="T14" s="543" t="s">
        <v>1732</v>
      </c>
      <c r="U14" s="543" t="s">
        <v>1749</v>
      </c>
      <c r="V14" s="543" t="s">
        <v>1750</v>
      </c>
      <c r="W14" s="543" t="s">
        <v>1751</v>
      </c>
    </row>
    <row r="15" spans="1:23" ht="122.25" customHeight="1" x14ac:dyDescent="0.25">
      <c r="A15" s="688"/>
      <c r="B15" s="688"/>
      <c r="C15" s="704"/>
      <c r="D15" s="707"/>
      <c r="E15" s="544" t="s">
        <v>1945</v>
      </c>
      <c r="F15" s="543" t="s">
        <v>1736</v>
      </c>
      <c r="G15" s="543" t="s">
        <v>1739</v>
      </c>
      <c r="H15" s="544" t="s">
        <v>1742</v>
      </c>
      <c r="I15" s="545">
        <v>0</v>
      </c>
      <c r="J15" s="546">
        <v>0</v>
      </c>
      <c r="K15" s="545">
        <v>1</v>
      </c>
      <c r="L15" s="546">
        <f>'5. ACTIVIDADES ESPECIALES'!D113</f>
        <v>30000</v>
      </c>
      <c r="M15" s="545">
        <v>0</v>
      </c>
      <c r="N15" s="547">
        <v>0</v>
      </c>
      <c r="O15" s="545">
        <v>0</v>
      </c>
      <c r="P15" s="547">
        <v>0</v>
      </c>
      <c r="Q15" s="548">
        <v>0</v>
      </c>
      <c r="R15" s="546">
        <f>L15</f>
        <v>30000</v>
      </c>
      <c r="S15" s="543"/>
      <c r="T15" s="543" t="s">
        <v>1742</v>
      </c>
      <c r="U15" s="543" t="s">
        <v>1753</v>
      </c>
      <c r="V15" s="543" t="s">
        <v>1911</v>
      </c>
      <c r="W15" s="543" t="s">
        <v>1752</v>
      </c>
    </row>
    <row r="16" spans="1:23" ht="15.6" customHeight="1" x14ac:dyDescent="0.3">
      <c r="A16" s="291"/>
      <c r="B16" s="292"/>
      <c r="C16" s="291" t="s">
        <v>116</v>
      </c>
      <c r="D16" s="292"/>
      <c r="E16" s="292"/>
      <c r="F16" s="292"/>
      <c r="G16" s="292"/>
      <c r="H16" s="293"/>
      <c r="I16" s="513"/>
      <c r="J16" s="536">
        <f t="shared" ref="J16:P16" si="2">SUM(J7:K15)</f>
        <v>86889.25</v>
      </c>
      <c r="K16" s="513"/>
      <c r="L16" s="536">
        <f t="shared" si="2"/>
        <v>182638.75</v>
      </c>
      <c r="M16" s="283"/>
      <c r="N16" s="541">
        <f t="shared" si="2"/>
        <v>601105.64449999994</v>
      </c>
      <c r="O16" s="283"/>
      <c r="P16" s="541">
        <f t="shared" si="2"/>
        <v>221520.64449999999</v>
      </c>
      <c r="Q16" s="283"/>
      <c r="R16" s="578">
        <f>SUM(R7:R15)</f>
        <v>1092076.2889999999</v>
      </c>
      <c r="S16" s="264"/>
      <c r="T16" s="264"/>
      <c r="U16" s="264"/>
      <c r="V16" s="264"/>
      <c r="W16" s="264"/>
    </row>
    <row r="20" spans="3:18" x14ac:dyDescent="0.25">
      <c r="C20" s="462"/>
    </row>
    <row r="21" spans="3:18" ht="18.75" x14ac:dyDescent="0.3">
      <c r="C21" s="462"/>
      <c r="Q21" s="576">
        <f>SUM(P16+N16+L16+J16)</f>
        <v>1092154.2889999999</v>
      </c>
    </row>
    <row r="22" spans="3:18" x14ac:dyDescent="0.25">
      <c r="C22" s="462"/>
    </row>
    <row r="23" spans="3:18" x14ac:dyDescent="0.25">
      <c r="C23" s="462"/>
    </row>
    <row r="27" spans="3:18" ht="18.75" x14ac:dyDescent="0.3">
      <c r="R27" s="577"/>
    </row>
  </sheetData>
  <mergeCells count="25">
    <mergeCell ref="A7:A15"/>
    <mergeCell ref="B7:B15"/>
    <mergeCell ref="D7:D8"/>
    <mergeCell ref="C7:C15"/>
    <mergeCell ref="D9:D11"/>
    <mergeCell ref="D12:D15"/>
    <mergeCell ref="A3:A5"/>
    <mergeCell ref="B3:B5"/>
    <mergeCell ref="C3:C5"/>
    <mergeCell ref="F3:F5"/>
    <mergeCell ref="H3:H5"/>
    <mergeCell ref="G3:G5"/>
    <mergeCell ref="E3:E5"/>
    <mergeCell ref="D3:D5"/>
    <mergeCell ref="W3:W5"/>
    <mergeCell ref="I4:J4"/>
    <mergeCell ref="K4:L4"/>
    <mergeCell ref="M4:N4"/>
    <mergeCell ref="O4:P4"/>
    <mergeCell ref="I3:P3"/>
    <mergeCell ref="Q3:R4"/>
    <mergeCell ref="S3:S5"/>
    <mergeCell ref="T3:T5"/>
    <mergeCell ref="U3:U5"/>
    <mergeCell ref="V3:V5"/>
  </mergeCells>
  <dataValidations xWindow="635" yWindow="175" count="10">
    <dataValidation allowBlank="1" showInputMessage="1" showErrorMessage="1" promptTitle="CORRELATIVO DE LA ACTIVIDAD" prompt="Estos son los mismos utilizados en los cuadros de costos, los cuales sirven para poder reflejar la Actividad a realizar en cada uno de los cuadros de costos." sqref="G3:G6"/>
    <dataValidation allowBlank="1" showInputMessage="1" showErrorMessage="1" promptTitle="INDICADORES DE RESULTADOS" prompt="Medidas o variables para verificar el cumplimiento de cada paso._x000a_" sqref="F3: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E3 C3:C6 E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H3:H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W3:W6"/>
    <dataValidation allowBlank="1" showInputMessage="1" showErrorMessage="1" promptTitle="POBLACIÓN OBJETIVO" prompt="Grupo  de personas al cual se pretende beneficiar con dicho actividad." sqref="V3:V6"/>
    <dataValidation allowBlank="1" showInputMessage="1" showErrorMessage="1" promptTitle="MEDIO DE VERIFICACIÓN" prompt="Corresponde a los elementos a través del cual se acredita y se verifican  las actividades." sqref="U3:U6"/>
    <dataValidation allowBlank="1" showInputMessage="1" showErrorMessage="1" promptTitle="JUSTIFICACIÓN" prompt="Es aquella en que se explica de forma convincente el motivo por el que y para que se va realizar dicha actividad, que beneficio va traer a la institución." sqref="T3:T6"/>
    <dataValidation allowBlank="1" showInputMessage="1" showErrorMessage="1" promptTitle="SUPUESTOS" prompt="Un  supuesto es un dato asumido como cierto a efectos de planificación este puede ser positivo como negativo." sqref="S3:S6"/>
    <dataValidation type="list" allowBlank="1" showInputMessage="1" showErrorMessage="1" sqref="C7">
      <formula1>$B$1:$F$1</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G19" workbookViewId="0">
      <selection activeCell="I30" sqref="I30"/>
    </sheetView>
  </sheetViews>
  <sheetFormatPr baseColWidth="10" defaultColWidth="11.5703125" defaultRowHeight="15" x14ac:dyDescent="0.2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11" ht="16.5" thickBot="1" x14ac:dyDescent="0.3">
      <c r="H2" s="654" t="s">
        <v>1367</v>
      </c>
      <c r="I2" s="654"/>
    </row>
    <row r="3" spans="2:11" ht="19.5" thickBot="1" x14ac:dyDescent="0.3">
      <c r="B3" s="81" t="s">
        <v>21</v>
      </c>
      <c r="C3" s="81" t="s">
        <v>389</v>
      </c>
      <c r="H3" s="420" t="s">
        <v>388</v>
      </c>
      <c r="I3" s="421" t="s">
        <v>389</v>
      </c>
    </row>
    <row r="4" spans="2:11" ht="18.75" x14ac:dyDescent="0.25">
      <c r="B4" s="82" t="s">
        <v>120</v>
      </c>
      <c r="C4" s="201">
        <f>'1. TALLERES SEMINARIOS'!D5</f>
        <v>403375</v>
      </c>
      <c r="H4" s="413" t="s">
        <v>1355</v>
      </c>
      <c r="I4" s="416">
        <f>'1. Desarrollo e Innov. Curricu.'!Q28</f>
        <v>0</v>
      </c>
    </row>
    <row r="5" spans="2:11" ht="18.75" x14ac:dyDescent="0.25">
      <c r="B5" s="82" t="s">
        <v>413</v>
      </c>
      <c r="C5" s="201">
        <f>'2. CONTRATACION DE PERSONAL'!D5</f>
        <v>1305000</v>
      </c>
      <c r="H5" s="414" t="s">
        <v>1357</v>
      </c>
      <c r="I5" s="417">
        <f>'2. Investigación Científica'!Q47</f>
        <v>0</v>
      </c>
    </row>
    <row r="6" spans="2:11" ht="18.75" x14ac:dyDescent="0.25">
      <c r="B6" s="82" t="s">
        <v>124</v>
      </c>
      <c r="C6" s="201">
        <f>'3. EQUIPO DE OFICINA'!D5</f>
        <v>222000</v>
      </c>
      <c r="H6" s="414" t="s">
        <v>469</v>
      </c>
      <c r="I6" s="417">
        <f>'3. Vinculación Univ. Sociedad'!Q74</f>
        <v>0</v>
      </c>
    </row>
    <row r="7" spans="2:11" ht="19.5" thickBot="1" x14ac:dyDescent="0.3">
      <c r="B7" s="82" t="s">
        <v>414</v>
      </c>
      <c r="C7" s="201">
        <f>'4. EQUIPO TECNOLÓGICOS'!D5</f>
        <v>862000</v>
      </c>
      <c r="E7" s="424" t="s">
        <v>117</v>
      </c>
      <c r="F7" s="433" t="s">
        <v>1472</v>
      </c>
      <c r="H7" s="414" t="s">
        <v>1356</v>
      </c>
      <c r="I7" s="417">
        <f>'4. Docencia y Profesorado Univ.'!Q21</f>
        <v>0</v>
      </c>
    </row>
    <row r="8" spans="2:11" ht="18.75" x14ac:dyDescent="0.25">
      <c r="B8" s="82" t="s">
        <v>125</v>
      </c>
      <c r="C8" s="201">
        <f>'5. ACTIVIDADES ESPECIALES'!D5</f>
        <v>2343076.6112500001</v>
      </c>
      <c r="E8" s="429" t="s">
        <v>1474</v>
      </c>
      <c r="F8" s="430">
        <f>Presupuesto!D566</f>
        <v>1094401.2889999999</v>
      </c>
      <c r="H8" s="414" t="s">
        <v>1358</v>
      </c>
      <c r="I8" s="417">
        <f>'5. Estudiantes y Graduados'!Q43</f>
        <v>0</v>
      </c>
    </row>
    <row r="9" spans="2:11" ht="19.5" thickBot="1" x14ac:dyDescent="0.3">
      <c r="B9" s="92" t="s">
        <v>384</v>
      </c>
      <c r="C9" s="83">
        <f>'6. Becas'!D5</f>
        <v>0</v>
      </c>
      <c r="E9" s="431" t="s">
        <v>1496</v>
      </c>
      <c r="F9" s="432">
        <f>Presupuesto!E566</f>
        <v>4041050.3222500002</v>
      </c>
      <c r="H9" s="414" t="s">
        <v>470</v>
      </c>
      <c r="I9" s="417">
        <f>'6. Gestión del Conocimiento'!Q27</f>
        <v>0</v>
      </c>
    </row>
    <row r="10" spans="2:11" ht="19.5" thickBot="1" x14ac:dyDescent="0.3">
      <c r="B10" s="92" t="s">
        <v>385</v>
      </c>
      <c r="C10" s="83">
        <f>'7. Infraestructura'!D5</f>
        <v>0</v>
      </c>
      <c r="E10" s="434" t="s">
        <v>1473</v>
      </c>
      <c r="F10" s="435">
        <f>Presupuesto!F566</f>
        <v>5135451.6112500001</v>
      </c>
      <c r="G10" s="111"/>
      <c r="H10" s="414" t="s">
        <v>1359</v>
      </c>
      <c r="I10" s="418">
        <f>'7. Lo Esencial de la Reforma U.'!R16</f>
        <v>1092076.2889999999</v>
      </c>
    </row>
    <row r="11" spans="2:11" ht="18.75" x14ac:dyDescent="0.25">
      <c r="B11" s="82" t="s">
        <v>416</v>
      </c>
      <c r="C11" s="83">
        <f>'8. Venta de Servicios'!D5</f>
        <v>0</v>
      </c>
      <c r="E11" s="436" t="s">
        <v>403</v>
      </c>
      <c r="F11" s="437">
        <f>Presupuesto!AR566</f>
        <v>5135451.6112500001</v>
      </c>
      <c r="G11" s="111"/>
      <c r="H11" s="414" t="s">
        <v>1361</v>
      </c>
      <c r="I11" s="418">
        <f>'8. Cultura de Inno. Insti...'!Q21</f>
        <v>0</v>
      </c>
    </row>
    <row r="12" spans="2:11" ht="18.75" x14ac:dyDescent="0.25">
      <c r="B12" s="92"/>
      <c r="C12" s="83"/>
      <c r="F12" s="111"/>
      <c r="G12" s="111"/>
      <c r="H12" s="414" t="s">
        <v>1467</v>
      </c>
      <c r="I12" s="418">
        <f>'9. Asegura. de la Calid. y M'!Q36</f>
        <v>0</v>
      </c>
      <c r="K12" s="156"/>
    </row>
    <row r="13" spans="2:11" ht="24" thickBot="1" x14ac:dyDescent="0.3">
      <c r="B13" s="84" t="s">
        <v>123</v>
      </c>
      <c r="C13" s="428">
        <f>SUM(C4:C12)</f>
        <v>5135451.6112500001</v>
      </c>
      <c r="F13" s="111"/>
      <c r="G13" s="111"/>
      <c r="H13" s="415" t="s">
        <v>1443</v>
      </c>
      <c r="I13" s="419">
        <f>'10. Posgrado'!Q43</f>
        <v>0</v>
      </c>
    </row>
    <row r="14" spans="2:11" ht="23.25" x14ac:dyDescent="0.25">
      <c r="B14" s="84"/>
      <c r="C14" s="85"/>
      <c r="F14" s="111"/>
      <c r="G14" s="111"/>
      <c r="H14" s="422" t="s">
        <v>123</v>
      </c>
      <c r="I14" s="423">
        <f>SUM(I4:I13)</f>
        <v>1092076.2889999999</v>
      </c>
    </row>
    <row r="15" spans="2:11" ht="15.75" x14ac:dyDescent="0.25">
      <c r="F15" s="111"/>
      <c r="G15" s="111"/>
      <c r="H15" s="655"/>
      <c r="I15" s="655"/>
    </row>
    <row r="16" spans="2:11" ht="16.5" thickBot="1" x14ac:dyDescent="0.3">
      <c r="F16" s="111"/>
      <c r="G16" s="111"/>
      <c r="H16" s="656" t="s">
        <v>1369</v>
      </c>
      <c r="I16" s="656"/>
    </row>
    <row r="17" spans="2:15" ht="15.75" thickBot="1" x14ac:dyDescent="0.3">
      <c r="F17" s="111"/>
      <c r="G17" s="111"/>
      <c r="H17" s="424" t="s">
        <v>388</v>
      </c>
      <c r="I17" s="425" t="s">
        <v>389</v>
      </c>
      <c r="J17" s="196"/>
    </row>
    <row r="18" spans="2:15" x14ac:dyDescent="0.25">
      <c r="H18" s="477" t="s">
        <v>1362</v>
      </c>
      <c r="I18" s="478">
        <f>'11. Gestion Administrativa'!Q39</f>
        <v>0</v>
      </c>
      <c r="J18" s="196"/>
    </row>
    <row r="19" spans="2:15" x14ac:dyDescent="0.25">
      <c r="H19" s="479" t="s">
        <v>1363</v>
      </c>
      <c r="I19" s="480">
        <f>'12. Gestión del Talento Humano'!Q21</f>
        <v>0</v>
      </c>
      <c r="J19" s="196"/>
    </row>
    <row r="20" spans="2:15" x14ac:dyDescent="0.25">
      <c r="B20" s="471" t="s">
        <v>1494</v>
      </c>
      <c r="C20" s="472">
        <v>22.584900000000001</v>
      </c>
      <c r="D20" s="471" t="s">
        <v>1513</v>
      </c>
      <c r="E20" s="473"/>
      <c r="H20" s="479" t="s">
        <v>1364</v>
      </c>
      <c r="I20" s="480">
        <f>'13. Gestión Académica'!Q21</f>
        <v>0</v>
      </c>
      <c r="J20" s="196"/>
    </row>
    <row r="21" spans="2:15" x14ac:dyDescent="0.25">
      <c r="H21" s="479" t="s">
        <v>1365</v>
      </c>
      <c r="I21" s="480">
        <f>'14. Internacional... de la E.S.'!Q36</f>
        <v>0</v>
      </c>
      <c r="J21" s="196"/>
    </row>
    <row r="22" spans="2:15" x14ac:dyDescent="0.25">
      <c r="H22" s="481" t="s">
        <v>1366</v>
      </c>
      <c r="I22" s="482">
        <f>'15. Gobernabilidad y Proceso...'!R30</f>
        <v>3157625.3222500002</v>
      </c>
      <c r="J22" s="196"/>
    </row>
    <row r="23" spans="2:15" x14ac:dyDescent="0.25">
      <c r="H23" s="483" t="s">
        <v>1468</v>
      </c>
      <c r="I23" s="484">
        <f>'16. Desa. del Sistema Educ.Sup.'!Q70</f>
        <v>0</v>
      </c>
      <c r="J23" s="196"/>
    </row>
    <row r="24" spans="2:15" s="463" customFormat="1" ht="15.75" thickBot="1" x14ac:dyDescent="0.3">
      <c r="H24" s="485" t="s">
        <v>1503</v>
      </c>
      <c r="I24" s="486">
        <f>'17. Gestión TIC'!Q28</f>
        <v>885750</v>
      </c>
      <c r="J24" s="196"/>
    </row>
    <row r="25" spans="2:15" ht="15.75" thickBot="1" x14ac:dyDescent="0.3">
      <c r="H25" s="475" t="s">
        <v>123</v>
      </c>
      <c r="I25" s="476">
        <f>SUM(I18:I24)</f>
        <v>4043375.3222500002</v>
      </c>
    </row>
    <row r="26" spans="2:15" ht="15.75" thickBot="1" x14ac:dyDescent="0.3"/>
    <row r="27" spans="2:15" ht="15.75" thickBot="1" x14ac:dyDescent="0.3">
      <c r="H27" s="426" t="s">
        <v>1368</v>
      </c>
      <c r="I27" s="427">
        <f>I14+I25</f>
        <v>5135451.6112500001</v>
      </c>
    </row>
    <row r="28" spans="2:15" x14ac:dyDescent="0.25">
      <c r="H28" s="341"/>
      <c r="I28" s="342"/>
    </row>
    <row r="29" spans="2:15" x14ac:dyDescent="0.25">
      <c r="H29" s="341"/>
      <c r="I29" s="342"/>
    </row>
    <row r="30" spans="2:15" x14ac:dyDescent="0.25">
      <c r="H30" s="196"/>
    </row>
    <row r="31" spans="2:15" x14ac:dyDescent="0.25">
      <c r="B31" s="86" t="s">
        <v>480</v>
      </c>
      <c r="C31" s="86" t="s">
        <v>481</v>
      </c>
      <c r="D31" s="86" t="s">
        <v>482</v>
      </c>
      <c r="E31" s="86" t="s">
        <v>483</v>
      </c>
      <c r="F31" s="86" t="s">
        <v>484</v>
      </c>
      <c r="G31" s="86" t="s">
        <v>485</v>
      </c>
      <c r="H31" s="86" t="s">
        <v>486</v>
      </c>
      <c r="I31" s="196" t="s">
        <v>487</v>
      </c>
      <c r="J31" s="86" t="s">
        <v>488</v>
      </c>
      <c r="K31" s="86" t="s">
        <v>489</v>
      </c>
      <c r="L31" s="86" t="s">
        <v>490</v>
      </c>
      <c r="M31" s="86" t="s">
        <v>491</v>
      </c>
      <c r="N31" s="86" t="s">
        <v>492</v>
      </c>
      <c r="O31" s="86" t="s">
        <v>493</v>
      </c>
    </row>
    <row r="33" spans="2:8" x14ac:dyDescent="0.25">
      <c r="H33" s="156"/>
    </row>
    <row r="35" spans="2:8" ht="18.75" x14ac:dyDescent="0.25">
      <c r="B35" s="82"/>
      <c r="C35" s="83"/>
    </row>
    <row r="36" spans="2:8" ht="18.75" x14ac:dyDescent="0.25">
      <c r="B36" s="82"/>
      <c r="C36" s="83"/>
    </row>
    <row r="37" spans="2:8" x14ac:dyDescent="0.25">
      <c r="B37" s="197" t="s">
        <v>411</v>
      </c>
    </row>
    <row r="39" spans="2:8" ht="18.75" x14ac:dyDescent="0.25">
      <c r="B39" s="81" t="s">
        <v>21</v>
      </c>
      <c r="C39" s="81" t="s">
        <v>55</v>
      </c>
      <c r="D39" s="236" t="s">
        <v>473</v>
      </c>
    </row>
    <row r="40" spans="2:8" ht="18.75" x14ac:dyDescent="0.25">
      <c r="B40" s="86" t="s">
        <v>480</v>
      </c>
      <c r="C40" s="167">
        <f>SUMIF('2. CONTRATACION DE PERSONAL'!C:C,'Cuadro Resumen'!$B$40:$B$56,'2. CONTRATACION DE PERSONAL'!D:D)</f>
        <v>0</v>
      </c>
      <c r="D40" s="237">
        <f>SUMIF('2. CONTRATACION DE PERSONAL'!$C:$C,'Cuadro Resumen'!$B$40:$B$56,'2. CONTRATACION DE PERSONAL'!$G:$G)</f>
        <v>0</v>
      </c>
    </row>
    <row r="41" spans="2:8" ht="18.75" x14ac:dyDescent="0.25">
      <c r="B41" s="86" t="s">
        <v>481</v>
      </c>
      <c r="C41" s="167">
        <f>SUMIF('2. CONTRATACION DE PERSONAL'!C:C,'Cuadro Resumen'!$B$40:$B$56,'2. CONTRATACION DE PERSONAL'!D:D)</f>
        <v>0</v>
      </c>
      <c r="D41" s="237">
        <f>SUMIF('2. CONTRATACION DE PERSONAL'!$C:$C,'Cuadro Resumen'!$B$40:$B$56,'2. CONTRATACION DE PERSONAL'!$G:$G)</f>
        <v>0</v>
      </c>
    </row>
    <row r="42" spans="2:8" ht="18.75" x14ac:dyDescent="0.25">
      <c r="B42" s="86" t="s">
        <v>482</v>
      </c>
      <c r="C42" s="167">
        <f>SUMIF('2. CONTRATACION DE PERSONAL'!C:C,'Cuadro Resumen'!$B$40:$B$56,'2. CONTRATACION DE PERSONAL'!D:D)</f>
        <v>0</v>
      </c>
      <c r="D42" s="237">
        <f>SUMIF('2. CONTRATACION DE PERSONAL'!$C:$C,'Cuadro Resumen'!$B$40:$B$56,'2. CONTRATACION DE PERSONAL'!$G:$G)</f>
        <v>0</v>
      </c>
    </row>
    <row r="43" spans="2:8" ht="18.75" x14ac:dyDescent="0.25">
      <c r="B43" s="86" t="s">
        <v>483</v>
      </c>
      <c r="C43" s="167">
        <f>SUMIF('2. CONTRATACION DE PERSONAL'!C:C,'Cuadro Resumen'!$B$40:$B$56,'2. CONTRATACION DE PERSONAL'!D:D)</f>
        <v>0</v>
      </c>
      <c r="D43" s="237">
        <f>SUMIF('2. CONTRATACION DE PERSONAL'!$C:$C,'Cuadro Resumen'!$B$40:$B$56,'2. CONTRATACION DE PERSONAL'!$G:$G)</f>
        <v>0</v>
      </c>
    </row>
    <row r="44" spans="2:8" ht="18.75" x14ac:dyDescent="0.25">
      <c r="B44" s="86" t="s">
        <v>484</v>
      </c>
      <c r="C44" s="167">
        <f>SUMIF('2. CONTRATACION DE PERSONAL'!C:C,'Cuadro Resumen'!$B$40:$B$56,'2. CONTRATACION DE PERSONAL'!D:D)</f>
        <v>0</v>
      </c>
      <c r="D44" s="237">
        <f>SUMIF('2. CONTRATACION DE PERSONAL'!$C:$C,'Cuadro Resumen'!$B$40:$B$56,'2. CONTRATACION DE PERSONAL'!$G:$G)</f>
        <v>0</v>
      </c>
    </row>
    <row r="45" spans="2:8" ht="18.75" x14ac:dyDescent="0.25">
      <c r="B45" s="86" t="s">
        <v>485</v>
      </c>
      <c r="C45" s="167">
        <f>SUMIF('2. CONTRATACION DE PERSONAL'!C:C,'Cuadro Resumen'!$B$40:$B$56,'2. CONTRATACION DE PERSONAL'!D:D)</f>
        <v>0</v>
      </c>
      <c r="D45" s="237">
        <f>SUMIF('2. CONTRATACION DE PERSONAL'!$C:$C,'Cuadro Resumen'!$B$40:$B$56,'2. CONTRATACION DE PERSONAL'!$G:$G)</f>
        <v>0</v>
      </c>
    </row>
    <row r="46" spans="2:8" ht="18.75" x14ac:dyDescent="0.25">
      <c r="B46" s="86" t="s">
        <v>486</v>
      </c>
      <c r="C46" s="167">
        <f>SUMIF('2. CONTRATACION DE PERSONAL'!C:C,'Cuadro Resumen'!$B$40:$B$56,'2. CONTRATACION DE PERSONAL'!D:D)</f>
        <v>0</v>
      </c>
      <c r="D46" s="237">
        <f>SUMIF('2. CONTRATACION DE PERSONAL'!$C:$C,'Cuadro Resumen'!$B$40:$B$56,'2. CONTRATACION DE PERSONAL'!$G:$G)</f>
        <v>0</v>
      </c>
    </row>
    <row r="47" spans="2:8" ht="18.75" x14ac:dyDescent="0.25">
      <c r="B47" s="86" t="s">
        <v>487</v>
      </c>
      <c r="C47" s="167">
        <f>SUMIF('2. CONTRATACION DE PERSONAL'!C:C,'Cuadro Resumen'!$B$40:$B$56,'2. CONTRATACION DE PERSONAL'!D:D)</f>
        <v>0</v>
      </c>
      <c r="D47" s="237">
        <f>SUMIF('2. CONTRATACION DE PERSONAL'!$C:$C,'Cuadro Resumen'!$B$40:$B$56,'2. CONTRATACION DE PERSONAL'!$G:$G)</f>
        <v>0</v>
      </c>
    </row>
    <row r="48" spans="2:8" ht="18.75" x14ac:dyDescent="0.25">
      <c r="B48" s="86" t="s">
        <v>488</v>
      </c>
      <c r="C48" s="167">
        <f>SUMIF('2. CONTRATACION DE PERSONAL'!C:C,'Cuadro Resumen'!$B$40:$B$56,'2. CONTRATACION DE PERSONAL'!D:D)</f>
        <v>0</v>
      </c>
      <c r="D48" s="237">
        <f>SUMIF('2. CONTRATACION DE PERSONAL'!$C:$C,'Cuadro Resumen'!$B$40:$B$56,'2. CONTRATACION DE PERSONAL'!$G:$G)</f>
        <v>0</v>
      </c>
    </row>
    <row r="49" spans="2:4" ht="18.75" x14ac:dyDescent="0.25">
      <c r="B49" s="86" t="s">
        <v>489</v>
      </c>
      <c r="C49" s="167">
        <f>SUMIF('2. CONTRATACION DE PERSONAL'!C:C,'Cuadro Resumen'!$B$40:$B$56,'2. CONTRATACION DE PERSONAL'!D:D)</f>
        <v>0</v>
      </c>
      <c r="D49" s="237">
        <f>SUMIF('2. CONTRATACION DE PERSONAL'!$C:$C,'Cuadro Resumen'!$B$40:$B$56,'2. CONTRATACION DE PERSONAL'!$G:$G)</f>
        <v>0</v>
      </c>
    </row>
    <row r="50" spans="2:4" ht="18.75" x14ac:dyDescent="0.25">
      <c r="B50" s="86" t="s">
        <v>490</v>
      </c>
      <c r="C50" s="167">
        <f>SUMIF('2. CONTRATACION DE PERSONAL'!C:C,'Cuadro Resumen'!$B$40:$B$56,'2. CONTRATACION DE PERSONAL'!D:D)</f>
        <v>0</v>
      </c>
      <c r="D50" s="237">
        <f>SUMIF('2. CONTRATACION DE PERSONAL'!$C:$C,'Cuadro Resumen'!$B$40:$B$56,'2. CONTRATACION DE PERSONAL'!$G:$G)</f>
        <v>0</v>
      </c>
    </row>
    <row r="51" spans="2:4" ht="18.75" x14ac:dyDescent="0.25">
      <c r="B51" s="86" t="s">
        <v>491</v>
      </c>
      <c r="C51" s="167">
        <f>SUMIF('2. CONTRATACION DE PERSONAL'!C:C,'Cuadro Resumen'!$B$40:$B$56,'2. CONTRATACION DE PERSONAL'!D:D)</f>
        <v>0</v>
      </c>
      <c r="D51" s="237">
        <f>SUMIF('2. CONTRATACION DE PERSONAL'!$C:$C,'Cuadro Resumen'!$B$40:$B$56,'2. CONTRATACION DE PERSONAL'!$G:$G)</f>
        <v>0</v>
      </c>
    </row>
    <row r="52" spans="2:4" ht="18.75" x14ac:dyDescent="0.25">
      <c r="B52" s="86" t="s">
        <v>492</v>
      </c>
      <c r="C52" s="167">
        <f>SUMIF('2. CONTRATACION DE PERSONAL'!C:C,'Cuadro Resumen'!$B$40:$B$56,'2. CONTRATACION DE PERSONAL'!D:D)</f>
        <v>0</v>
      </c>
      <c r="D52" s="237">
        <f>SUMIF('2. CONTRATACION DE PERSONAL'!$C:$C,'Cuadro Resumen'!$B$40:$B$56,'2. CONTRATACION DE PERSONAL'!$G:$G)</f>
        <v>0</v>
      </c>
    </row>
    <row r="53" spans="2:4" ht="18.75" x14ac:dyDescent="0.25">
      <c r="B53" s="86" t="s">
        <v>493</v>
      </c>
      <c r="C53" s="167">
        <f>SUMIF('2. CONTRATACION DE PERSONAL'!C:C,'Cuadro Resumen'!$B$40:$B$56,'2. CONTRATACION DE PERSONAL'!D:D)</f>
        <v>0</v>
      </c>
      <c r="D53" s="237">
        <f>SUMIF('2. CONTRATACION DE PERSONAL'!$C:$C,'Cuadro Resumen'!$B$40:$B$56,'2. CONTRATACION DE PERSONAL'!$G:$G)</f>
        <v>0</v>
      </c>
    </row>
    <row r="54" spans="2:4" ht="18.75" x14ac:dyDescent="0.25">
      <c r="B54" s="82" t="s">
        <v>83</v>
      </c>
      <c r="C54" s="167">
        <f>SUMIF('2. CONTRATACION DE PERSONAL'!C:C,'Cuadro Resumen'!$B$40:$B$56,'2. CONTRATACION DE PERSONAL'!D:D)</f>
        <v>0</v>
      </c>
      <c r="D54" s="237">
        <f>SUMIF('2. CONTRATACION DE PERSONAL'!$C:$C,'Cuadro Resumen'!$B$40:$B$56,'2. CONTRATACION DE PERSONAL'!$G:$G)</f>
        <v>0</v>
      </c>
    </row>
    <row r="55" spans="2:4" ht="18.75" x14ac:dyDescent="0.25">
      <c r="B55" s="82" t="s">
        <v>60</v>
      </c>
      <c r="C55" s="167">
        <f>SUMIF('2. CONTRATACION DE PERSONAL'!C:C,'Cuadro Resumen'!$B$40:$B$56,'2. CONTRATACION DE PERSONAL'!D:D)</f>
        <v>0</v>
      </c>
      <c r="D55" s="237">
        <f>SUMIF('2. CONTRATACION DE PERSONAL'!$C:$C,'Cuadro Resumen'!$B$40:$B$56,'2. CONTRATACION DE PERSONAL'!$G:$G)</f>
        <v>0</v>
      </c>
    </row>
    <row r="56" spans="2:4" ht="18.75" x14ac:dyDescent="0.25">
      <c r="B56" s="82" t="s">
        <v>61</v>
      </c>
      <c r="C56" s="167">
        <f>SUMIF('2. CONTRATACION DE PERSONAL'!C:C,'Cuadro Resumen'!$B$40:$B$56,'2. CONTRATACION DE PERSONAL'!D:D)</f>
        <v>5</v>
      </c>
      <c r="D56" s="237">
        <f>SUMIF('2. CONTRATACION DE PERSONAL'!$C:$C,'Cuadro Resumen'!$B$40:$B$56,'2. CONTRATACION DE PERSONAL'!$G:$G)</f>
        <v>1044000</v>
      </c>
    </row>
    <row r="57" spans="2:4" ht="23.25" x14ac:dyDescent="0.25">
      <c r="B57" s="84" t="s">
        <v>123</v>
      </c>
      <c r="C57" s="168">
        <f>SUBTOTAL(109,C40:C56)</f>
        <v>5</v>
      </c>
      <c r="D57" s="237">
        <f>SUM(D40:D56)</f>
        <v>1044000</v>
      </c>
    </row>
    <row r="66" spans="2:4" x14ac:dyDescent="0.25">
      <c r="B66" s="197" t="s">
        <v>378</v>
      </c>
    </row>
    <row r="68" spans="2:4" ht="18.75" x14ac:dyDescent="0.25">
      <c r="B68" s="81" t="s">
        <v>21</v>
      </c>
      <c r="C68" s="81" t="s">
        <v>55</v>
      </c>
      <c r="D68" s="236" t="s">
        <v>473</v>
      </c>
    </row>
    <row r="69" spans="2:4" ht="18.75" x14ac:dyDescent="0.25">
      <c r="B69" s="82" t="s">
        <v>63</v>
      </c>
      <c r="C69" s="83">
        <f>SUMIF('3. EQUIPO DE OFICINA'!C:C,'Cuadro Resumen'!$B$69:$B$78,'3. EQUIPO DE OFICINA'!D:D)</f>
        <v>4</v>
      </c>
      <c r="D69" s="238">
        <f>SUMIF('3. EQUIPO DE OFICINA'!$C:$C,'Cuadro Resumen'!$B$69:$B$78,'3. EQUIPO DE OFICINA'!$F:$F)</f>
        <v>11200</v>
      </c>
    </row>
    <row r="70" spans="2:4" ht="18.75" x14ac:dyDescent="0.25">
      <c r="B70" s="92" t="s">
        <v>64</v>
      </c>
      <c r="C70" s="83">
        <f>SUMIF('3. EQUIPO DE OFICINA'!C:C,'Cuadro Resumen'!$B$69:$B$78,'3. EQUIPO DE OFICINA'!D:D)</f>
        <v>2</v>
      </c>
      <c r="D70" s="238">
        <f>SUMIF('3. EQUIPO DE OFICINA'!$C:$C,'Cuadro Resumen'!$B$69:$B$78,'3. EQUIPO DE OFICINA'!$F:$F)</f>
        <v>4800</v>
      </c>
    </row>
    <row r="71" spans="2:4" ht="18.75" x14ac:dyDescent="0.25">
      <c r="B71" s="92" t="s">
        <v>65</v>
      </c>
      <c r="C71" s="83">
        <f>SUMIF('3. EQUIPO DE OFICINA'!C:C,'Cuadro Resumen'!$B$69:$B$78,'3. EQUIPO DE OFICINA'!D:D)</f>
        <v>8</v>
      </c>
      <c r="D71" s="238">
        <f>SUMIF('3. EQUIPO DE OFICINA'!$C:$C,'Cuadro Resumen'!$B$69:$B$78,'3. EQUIPO DE OFICINA'!$F:$F)</f>
        <v>8000</v>
      </c>
    </row>
    <row r="72" spans="2:4" ht="18.75" x14ac:dyDescent="0.25">
      <c r="B72" s="92" t="s">
        <v>66</v>
      </c>
      <c r="C72" s="83">
        <f>SUMIF('3. EQUIPO DE OFICINA'!C:C,'Cuadro Resumen'!$B$69:$B$78,'3. EQUIPO DE OFICINA'!D:D)</f>
        <v>4</v>
      </c>
      <c r="D72" s="238">
        <f>SUMIF('3. EQUIPO DE OFICINA'!$C:$C,'Cuadro Resumen'!$B$69:$B$78,'3. EQUIPO DE OFICINA'!$F:$F)</f>
        <v>24000</v>
      </c>
    </row>
    <row r="73" spans="2:4" ht="18.75" x14ac:dyDescent="0.25">
      <c r="B73" s="92" t="s">
        <v>67</v>
      </c>
      <c r="C73" s="83">
        <f>SUMIF('3. EQUIPO DE OFICINA'!C:C,'Cuadro Resumen'!$B$69:$B$78,'3. EQUIPO DE OFICINA'!D:D)</f>
        <v>0</v>
      </c>
      <c r="D73" s="238">
        <f>SUMIF('3. EQUIPO DE OFICINA'!$C:$C,'Cuadro Resumen'!$B$69:$B$78,'3. EQUIPO DE OFICINA'!$F:$F)</f>
        <v>0</v>
      </c>
    </row>
    <row r="74" spans="2:4" ht="18.75" x14ac:dyDescent="0.25">
      <c r="B74" s="92" t="s">
        <v>68</v>
      </c>
      <c r="C74" s="83">
        <f>SUMIF('3. EQUIPO DE OFICINA'!C:C,'Cuadro Resumen'!$B$69:$B$78,'3. EQUIPO DE OFICINA'!D:D)</f>
        <v>2</v>
      </c>
      <c r="D74" s="238">
        <f>SUMIF('3. EQUIPO DE OFICINA'!$C:$C,'Cuadro Resumen'!$B$69:$B$78,'3. EQUIPO DE OFICINA'!$F:$F)</f>
        <v>20000</v>
      </c>
    </row>
    <row r="75" spans="2:4" ht="18.75" x14ac:dyDescent="0.25">
      <c r="B75" s="92" t="s">
        <v>69</v>
      </c>
      <c r="C75" s="83">
        <f>SUMIF('3. EQUIPO DE OFICINA'!C:C,'Cuadro Resumen'!$B$69:$B$78,'3. EQUIPO DE OFICINA'!D:D)</f>
        <v>3</v>
      </c>
      <c r="D75" s="238">
        <f>SUMIF('3. EQUIPO DE OFICINA'!$C:$C,'Cuadro Resumen'!$B$69:$B$78,'3. EQUIPO DE OFICINA'!$F:$F)</f>
        <v>24000</v>
      </c>
    </row>
    <row r="76" spans="2:4" ht="18.75" x14ac:dyDescent="0.25">
      <c r="B76" s="82" t="s">
        <v>70</v>
      </c>
      <c r="C76" s="83">
        <f>SUMIF('3. EQUIPO DE OFICINA'!C:C,'Cuadro Resumen'!$B$69:$B$78,'3. EQUIPO DE OFICINA'!D:D)</f>
        <v>0</v>
      </c>
      <c r="D76" s="238">
        <f>SUMIF('3. EQUIPO DE OFICINA'!$C:$C,'Cuadro Resumen'!$B$69:$B$78,'3. EQUIPO DE OFICINA'!$F:$F)</f>
        <v>0</v>
      </c>
    </row>
    <row r="77" spans="2:4" ht="18.75" x14ac:dyDescent="0.25">
      <c r="B77" s="82" t="s">
        <v>71</v>
      </c>
      <c r="C77" s="83">
        <f>SUMIF('3. EQUIPO DE OFICINA'!C:C,'Cuadro Resumen'!$B$69:$B$78,'3. EQUIPO DE OFICINA'!D:D)</f>
        <v>0</v>
      </c>
      <c r="D77" s="238">
        <f>SUMIF('3. EQUIPO DE OFICINA'!$C:$C,'Cuadro Resumen'!$B$69:$B$78,'3. EQUIPO DE OFICINA'!$F:$F)</f>
        <v>0</v>
      </c>
    </row>
    <row r="78" spans="2:4" ht="18.75" x14ac:dyDescent="0.25">
      <c r="B78" s="82" t="s">
        <v>72</v>
      </c>
      <c r="C78" s="83">
        <f>SUMIF('3. EQUIPO DE OFICINA'!C:C,'Cuadro Resumen'!$B$69:$B$78,'3. EQUIPO DE OFICINA'!D:D)</f>
        <v>0</v>
      </c>
      <c r="D78" s="238">
        <f>SUMIF('3. EQUIPO DE OFICINA'!$C:$C,'Cuadro Resumen'!$B$69:$B$78,'3. EQUIPO DE OFICINA'!$F:$F)</f>
        <v>0</v>
      </c>
    </row>
    <row r="79" spans="2:4" ht="18.75" x14ac:dyDescent="0.25">
      <c r="B79" s="82"/>
      <c r="C79" s="83">
        <f>SUMIF('3. EQUIPO DE OFICINA'!C:C,'Cuadro Resumen'!$B$69:$B$78,'3. EQUIPO DE OFICINA'!D:D)</f>
        <v>0</v>
      </c>
      <c r="D79" s="238">
        <f>SUMIF('3. EQUIPO DE OFICINA'!$C:$C,'Cuadro Resumen'!$B$69:$B$78,'3. EQUIPO DE OFICINA'!$F:$F)</f>
        <v>0</v>
      </c>
    </row>
    <row r="80" spans="2:4" ht="23.25" x14ac:dyDescent="0.25">
      <c r="B80" s="84" t="s">
        <v>123</v>
      </c>
      <c r="C80" s="85">
        <f>SUM(C69:C79)</f>
        <v>23</v>
      </c>
      <c r="D80" s="239">
        <f>SUM(D69:D79)</f>
        <v>92000</v>
      </c>
    </row>
    <row r="83" spans="2:4" x14ac:dyDescent="0.25">
      <c r="B83" s="197" t="s">
        <v>379</v>
      </c>
    </row>
    <row r="85" spans="2:4" ht="18.75" x14ac:dyDescent="0.25">
      <c r="B85" s="81" t="s">
        <v>380</v>
      </c>
      <c r="C85" s="81" t="s">
        <v>55</v>
      </c>
      <c r="D85" s="236" t="s">
        <v>473</v>
      </c>
    </row>
    <row r="86" spans="2:4" ht="37.5" x14ac:dyDescent="0.25">
      <c r="B86" s="305" t="s">
        <v>1335</v>
      </c>
      <c r="C86" s="83">
        <f>SUMIF('4. EQUIPO TECNOLÓGICOS'!C:C,'Cuadro Resumen'!$B$86:$B$102,'4. EQUIPO TECNOLÓGICOS'!D:D)</f>
        <v>3</v>
      </c>
      <c r="D86" s="83">
        <f>SUMIF('4. EQUIPO TECNOLÓGICOS'!$C:$C,'Cuadro Resumen'!$B$86:$B$102,'4. EQUIPO TECNOLÓGICOS'!F:F)</f>
        <v>75000</v>
      </c>
    </row>
    <row r="87" spans="2:4" ht="18.75" x14ac:dyDescent="0.25">
      <c r="B87" s="305" t="s">
        <v>1336</v>
      </c>
      <c r="C87" s="83">
        <f>SUMIF('4. EQUIPO TECNOLÓGICOS'!C:C,'Cuadro Resumen'!$B$86:$B$102,'4. EQUIPO TECNOLÓGICOS'!D:D)</f>
        <v>0</v>
      </c>
      <c r="D87" s="83">
        <f>SUMIF('4. EQUIPO TECNOLÓGICOS'!$C:$C,'Cuadro Resumen'!$B$86:$B$102,'4. EQUIPO TECNOLÓGICOS'!F:F)</f>
        <v>0</v>
      </c>
    </row>
    <row r="88" spans="2:4" ht="37.5" x14ac:dyDescent="0.25">
      <c r="B88" s="305" t="s">
        <v>1334</v>
      </c>
      <c r="C88" s="83">
        <f>SUMIF('4. EQUIPO TECNOLÓGICOS'!C:C,'Cuadro Resumen'!$B$86:$B$102,'4. EQUIPO TECNOLÓGICOS'!D:D)</f>
        <v>0</v>
      </c>
      <c r="D88" s="83">
        <f>SUMIF('4. EQUIPO TECNOLÓGICOS'!$C:$C,'Cuadro Resumen'!$B$86:$B$102,'4. EQUIPO TECNOLÓGICOS'!F:F)</f>
        <v>0</v>
      </c>
    </row>
    <row r="89" spans="2:4" ht="37.5" x14ac:dyDescent="0.25">
      <c r="B89" s="305" t="s">
        <v>1337</v>
      </c>
      <c r="C89" s="83">
        <f>SUMIF('4. EQUIPO TECNOLÓGICOS'!C:C,'Cuadro Resumen'!$B$86:$B$102,'4. EQUIPO TECNOLÓGICOS'!D:D)</f>
        <v>12</v>
      </c>
      <c r="D89" s="83">
        <f>SUMIF('4. EQUIPO TECNOLÓGICOS'!$C:$C,'Cuadro Resumen'!$B$86:$B$102,'4. EQUIPO TECNOLÓGICOS'!F:F)</f>
        <v>240000</v>
      </c>
    </row>
    <row r="90" spans="2:4" ht="18.75" x14ac:dyDescent="0.25">
      <c r="B90" s="82" t="s">
        <v>412</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0</v>
      </c>
      <c r="D91" s="83">
        <f>SUMIF('4. EQUIPO TECNOLÓGICOS'!$C:$C,'Cuadro Resumen'!$B$86:$B$102,'4. EQUIPO TECNOLÓGICOS'!F:F)</f>
        <v>0</v>
      </c>
    </row>
    <row r="92" spans="2:4" ht="18.75" x14ac:dyDescent="0.25">
      <c r="B92" s="92" t="s">
        <v>74</v>
      </c>
      <c r="C92" s="83">
        <f>SUMIF('4. EQUIPO TECNOLÓGICOS'!C:C,'Cuadro Resumen'!$B$86:$B$102,'4. EQUIPO TECNOLÓGICOS'!D:D)</f>
        <v>0</v>
      </c>
      <c r="D92" s="83">
        <f>SUMIF('4. EQUIPO TECNOLÓGICOS'!$C:$C,'Cuadro Resumen'!$B$86:$B$102,'4. EQUIPO TECNOLÓGICOS'!F:F)</f>
        <v>0</v>
      </c>
    </row>
    <row r="93" spans="2:4" ht="18.75" x14ac:dyDescent="0.25">
      <c r="B93" s="92" t="s">
        <v>75</v>
      </c>
      <c r="C93" s="83">
        <f>SUMIF('4. EQUIPO TECNOLÓGICOS'!C:C,'Cuadro Resumen'!$B$86:$B$102,'4. EQUIPO TECNOLÓGICOS'!D:D)</f>
        <v>2</v>
      </c>
      <c r="D93" s="83">
        <f>SUMIF('4. EQUIPO TECNOLÓGICOS'!$C:$C,'Cuadro Resumen'!$B$86:$B$102,'4. EQUIPO TECNOLÓGICOS'!F:F)</f>
        <v>20000</v>
      </c>
    </row>
    <row r="94" spans="2:4" ht="18.75" x14ac:dyDescent="0.25">
      <c r="B94" s="82" t="s">
        <v>35</v>
      </c>
      <c r="C94" s="83">
        <f>SUMIF('4. EQUIPO TECNOLÓGICOS'!C:C,'Cuadro Resumen'!$B$86:$B$102,'4. EQUIPO TECNOLÓGICOS'!D:D)</f>
        <v>4</v>
      </c>
      <c r="D94" s="83">
        <f>SUMIF('4. EQUIPO TECNOLÓGICOS'!$C:$C,'Cuadro Resumen'!$B$86:$B$102,'4. EQUIPO TECNOLÓGICOS'!F:F)</f>
        <v>56000</v>
      </c>
    </row>
    <row r="95" spans="2:4" ht="18.75" x14ac:dyDescent="0.25">
      <c r="B95" s="92" t="s">
        <v>76</v>
      </c>
      <c r="C95" s="83">
        <f>SUMIF('4. EQUIPO TECNOLÓGICOS'!C:C,'Cuadro Resumen'!$B$86:$B$102,'4. EQUIPO TECNOLÓGICOS'!D:D)</f>
        <v>0</v>
      </c>
      <c r="D95" s="83">
        <f>SUMIF('4. EQUIPO TECNOLÓGICOS'!$C:$C,'Cuadro Resumen'!$B$86:$B$102,'4. EQUIPO TECNOLÓGICOS'!F:F)</f>
        <v>0</v>
      </c>
    </row>
    <row r="96" spans="2:4" ht="18.75" x14ac:dyDescent="0.25">
      <c r="B96" s="82" t="s">
        <v>77</v>
      </c>
      <c r="C96" s="83">
        <f>SUMIF('4. EQUIPO TECNOLÓGICOS'!C:C,'Cuadro Resumen'!$B$86:$B$102,'4. EQUIPO TECNOLÓGICOS'!D:D)</f>
        <v>0</v>
      </c>
      <c r="D96" s="83">
        <f>SUMIF('4. EQUIPO TECNOLÓGICOS'!$C:$C,'Cuadro Resumen'!$B$86:$B$102,'4. EQUIPO TECNOLÓGICOS'!F:F)</f>
        <v>0</v>
      </c>
    </row>
    <row r="97" spans="2:4" ht="18.75" x14ac:dyDescent="0.25">
      <c r="B97" s="92" t="s">
        <v>78</v>
      </c>
      <c r="C97" s="83">
        <f>SUMIF('4. EQUIPO TECNOLÓGICOS'!C:C,'Cuadro Resumen'!$B$86:$B$102,'4. EQUIPO TECNOLÓGICOS'!D:D)</f>
        <v>0</v>
      </c>
      <c r="D97" s="83">
        <f>SUMIF('4. EQUIPO TECNOLÓGICOS'!$C:$C,'Cuadro Resumen'!$B$86:$B$102,'4. EQUIPO TECNOLÓGICOS'!F:F)</f>
        <v>0</v>
      </c>
    </row>
    <row r="98" spans="2:4" ht="18.75" x14ac:dyDescent="0.25">
      <c r="B98" s="92" t="s">
        <v>79</v>
      </c>
      <c r="C98" s="83">
        <f>SUMIF('4. EQUIPO TECNOLÓGICOS'!C:C,'Cuadro Resumen'!$B$86:$B$102,'4. EQUIPO TECNOLÓGICOS'!D:D)</f>
        <v>3</v>
      </c>
      <c r="D98" s="83">
        <f>SUMIF('4. EQUIPO TECNOLÓGICOS'!$C:$C,'Cuadro Resumen'!$B$86:$B$102,'4. EQUIPO TECNOLÓGICOS'!F:F)</f>
        <v>6000</v>
      </c>
    </row>
    <row r="99" spans="2:4" ht="18.75" x14ac:dyDescent="0.25">
      <c r="B99" s="82" t="s">
        <v>1471</v>
      </c>
      <c r="C99" s="83">
        <f>SUMIF('4. EQUIPO TECNOLÓGICOS'!C:C,'Cuadro Resumen'!$B$86:$B$102,'4. EQUIPO TECNOLÓGICOS'!D:D)</f>
        <v>4</v>
      </c>
      <c r="D99" s="83">
        <f>SUMIF('4. EQUIPO TECNOLÓGICOS'!$C:$C,'Cuadro Resumen'!$B$86:$B$102,'4. EQUIPO TECNOLÓGICOS'!F:F)</f>
        <v>6000</v>
      </c>
    </row>
    <row r="100" spans="2:4" ht="18.75" x14ac:dyDescent="0.25">
      <c r="B100" s="92" t="s">
        <v>80</v>
      </c>
      <c r="C100" s="83">
        <f>SUMIF('4. EQUIPO TECNOLÓGICOS'!C:C,'Cuadro Resumen'!$B$86:$B$102,'4. EQUIPO TECNOLÓGICOS'!D:D)</f>
        <v>4</v>
      </c>
      <c r="D100" s="83">
        <f>SUMIF('4. EQUIPO TECNOLÓGICOS'!$C:$C,'Cuadro Resumen'!$B$86:$B$102,'4. EQUIPO TECNOLÓGICOS'!F:F)</f>
        <v>8000</v>
      </c>
    </row>
    <row r="101" spans="2:4" ht="18.75" x14ac:dyDescent="0.25">
      <c r="B101" s="92" t="s">
        <v>81</v>
      </c>
      <c r="C101" s="83">
        <f>SUMIF('4. EQUIPO TECNOLÓGICOS'!C:C,'Cuadro Resumen'!$B$86:$B$102,'4. EQUIPO TECNOLÓGICOS'!D:D)</f>
        <v>0</v>
      </c>
      <c r="D101" s="83">
        <f>SUMIF('4. EQUIPO TECNOLÓGICOS'!$C:$C,'Cuadro Resumen'!$B$86:$B$102,'4. EQUIPO TECNOLÓGICOS'!F:F)</f>
        <v>0</v>
      </c>
    </row>
    <row r="102" spans="2:4" ht="18.75" x14ac:dyDescent="0.25">
      <c r="B102" s="92" t="s">
        <v>82</v>
      </c>
      <c r="C102" s="83">
        <f>SUMIF('4. EQUIPO TECNOLÓGICOS'!C:C,'Cuadro Resumen'!$B$86:$B$102,'4. EQUIPO TECNOLÓGICOS'!D:D)</f>
        <v>0</v>
      </c>
      <c r="D102" s="83">
        <f>SUMIF('4. EQUIPO TECNOLÓGICOS'!$C:$C,'Cuadro Resumen'!$B$86:$B$102,'4. EQUIPO TECNOLÓGICOS'!F:F)</f>
        <v>0</v>
      </c>
    </row>
    <row r="103" spans="2:4" ht="23.25" x14ac:dyDescent="0.25">
      <c r="B103" s="84" t="s">
        <v>123</v>
      </c>
      <c r="C103" s="85">
        <f>SUM(C86:C102)</f>
        <v>32</v>
      </c>
      <c r="D103" s="85">
        <f>SUM(D86:D102)</f>
        <v>411000</v>
      </c>
    </row>
    <row r="107" spans="2:4" x14ac:dyDescent="0.25">
      <c r="B107" s="197" t="s">
        <v>471</v>
      </c>
    </row>
    <row r="128" spans="2:2" x14ac:dyDescent="0.25">
      <c r="B128" s="197" t="s">
        <v>472</v>
      </c>
    </row>
    <row r="129" spans="2:4" x14ac:dyDescent="0.25">
      <c r="B129" s="86" t="s">
        <v>118</v>
      </c>
      <c r="C129" s="86" t="s">
        <v>55</v>
      </c>
      <c r="D129" s="86" t="s">
        <v>473</v>
      </c>
    </row>
    <row r="130" spans="2:4" x14ac:dyDescent="0.25">
      <c r="B130" s="86" t="s">
        <v>474</v>
      </c>
    </row>
    <row r="131" spans="2:4" x14ac:dyDescent="0.25">
      <c r="B131" s="86" t="s">
        <v>464</v>
      </c>
    </row>
    <row r="132" spans="2:4" x14ac:dyDescent="0.25">
      <c r="B132" s="86" t="s">
        <v>478</v>
      </c>
    </row>
    <row r="145" spans="2:2" x14ac:dyDescent="0.25">
      <c r="B145" s="197" t="s">
        <v>479</v>
      </c>
    </row>
    <row r="196" spans="2:9" s="122" customFormat="1" x14ac:dyDescent="0.25">
      <c r="I196" s="447"/>
    </row>
    <row r="198" spans="2:9" hidden="1" x14ac:dyDescent="0.25">
      <c r="B198" s="657" t="s">
        <v>1487</v>
      </c>
      <c r="C198" s="657"/>
      <c r="D198" s="657"/>
      <c r="E198" s="657"/>
      <c r="F198" s="657"/>
    </row>
    <row r="199" spans="2:9" hidden="1" x14ac:dyDescent="0.25">
      <c r="B199" s="451" t="s">
        <v>1488</v>
      </c>
      <c r="C199" s="450" t="s">
        <v>1489</v>
      </c>
      <c r="D199" s="450" t="s">
        <v>1489</v>
      </c>
      <c r="E199" s="450" t="s">
        <v>1490</v>
      </c>
      <c r="F199" s="450" t="s">
        <v>1490</v>
      </c>
    </row>
    <row r="200" spans="2:9" hidden="1" x14ac:dyDescent="0.25">
      <c r="B200" s="449"/>
      <c r="C200" s="449" t="s">
        <v>1491</v>
      </c>
      <c r="D200" s="449" t="s">
        <v>1492</v>
      </c>
      <c r="E200" s="449" t="s">
        <v>1491</v>
      </c>
      <c r="F200" s="449" t="s">
        <v>1492</v>
      </c>
    </row>
    <row r="201" spans="2:9" hidden="1" x14ac:dyDescent="0.25">
      <c r="B201" s="451" t="s">
        <v>3</v>
      </c>
      <c r="C201" s="448">
        <v>255</v>
      </c>
      <c r="D201" s="448">
        <v>235</v>
      </c>
      <c r="E201" s="448">
        <v>300</v>
      </c>
      <c r="F201" s="448">
        <v>280</v>
      </c>
    </row>
    <row r="202" spans="2:9" hidden="1" x14ac:dyDescent="0.25">
      <c r="B202" s="451" t="s">
        <v>4</v>
      </c>
      <c r="C202" s="448">
        <v>225</v>
      </c>
      <c r="D202" s="448">
        <v>205</v>
      </c>
      <c r="E202" s="448">
        <v>270</v>
      </c>
      <c r="F202" s="448">
        <v>250</v>
      </c>
    </row>
    <row r="203" spans="2:9" hidden="1" x14ac:dyDescent="0.25">
      <c r="B203" s="451" t="s">
        <v>5</v>
      </c>
      <c r="C203" s="448">
        <v>195</v>
      </c>
      <c r="D203" s="448">
        <v>180</v>
      </c>
      <c r="E203" s="448">
        <v>240</v>
      </c>
      <c r="F203" s="448">
        <v>220</v>
      </c>
    </row>
    <row r="204" spans="2:9" hidden="1" x14ac:dyDescent="0.25">
      <c r="B204" s="451" t="s">
        <v>6</v>
      </c>
      <c r="C204" s="448">
        <v>165</v>
      </c>
      <c r="D204" s="448">
        <v>150</v>
      </c>
      <c r="E204" s="448">
        <v>210</v>
      </c>
      <c r="F204" s="448">
        <v>195</v>
      </c>
    </row>
    <row r="205" spans="2:9" hidden="1" x14ac:dyDescent="0.25">
      <c r="B205" s="451" t="s">
        <v>1493</v>
      </c>
      <c r="C205" s="448">
        <v>145</v>
      </c>
      <c r="D205" s="448">
        <v>135</v>
      </c>
      <c r="E205" s="448">
        <v>185</v>
      </c>
      <c r="F205" s="448">
        <v>170</v>
      </c>
    </row>
    <row r="206" spans="2:9" hidden="1" x14ac:dyDescent="0.25">
      <c r="B206" s="446"/>
      <c r="C206" s="446"/>
      <c r="D206" s="446"/>
      <c r="E206" s="446"/>
      <c r="F206" s="446"/>
    </row>
    <row r="207" spans="2:9" hidden="1" x14ac:dyDescent="0.25">
      <c r="B207" s="658" t="s">
        <v>1494</v>
      </c>
      <c r="C207" s="658"/>
      <c r="D207" s="658"/>
      <c r="E207" s="474">
        <f>C20</f>
        <v>22.584900000000001</v>
      </c>
      <c r="F207" s="474" t="str">
        <f>D20</f>
        <v>Lunes, 08 de febrero del 2016 Fuente el BCH</v>
      </c>
    </row>
    <row r="208" spans="2:9" hidden="1" x14ac:dyDescent="0.25">
      <c r="B208" s="446"/>
      <c r="C208" s="446"/>
      <c r="D208" s="446"/>
      <c r="E208" s="446"/>
      <c r="F208" s="446"/>
    </row>
    <row r="209" spans="2:9" hidden="1" x14ac:dyDescent="0.25">
      <c r="B209" s="446"/>
      <c r="C209" s="446"/>
      <c r="D209" s="446"/>
      <c r="E209" s="446"/>
      <c r="F209" s="446"/>
    </row>
    <row r="210" spans="2:9" hidden="1" x14ac:dyDescent="0.25">
      <c r="B210" s="657" t="s">
        <v>1487</v>
      </c>
      <c r="C210" s="657"/>
      <c r="D210" s="657"/>
      <c r="E210" s="657"/>
      <c r="F210" s="657"/>
    </row>
    <row r="211" spans="2:9" hidden="1" x14ac:dyDescent="0.25">
      <c r="B211" s="451" t="s">
        <v>1488</v>
      </c>
      <c r="C211" s="450" t="s">
        <v>1489</v>
      </c>
      <c r="D211" s="450" t="s">
        <v>1489</v>
      </c>
      <c r="E211" s="450" t="s">
        <v>1490</v>
      </c>
      <c r="F211" s="450" t="s">
        <v>1490</v>
      </c>
    </row>
    <row r="212" spans="2:9" hidden="1" x14ac:dyDescent="0.25">
      <c r="B212" s="449"/>
      <c r="C212" s="449" t="s">
        <v>1491</v>
      </c>
      <c r="D212" s="449" t="s">
        <v>1492</v>
      </c>
      <c r="E212" s="449" t="s">
        <v>1491</v>
      </c>
      <c r="F212" s="449" t="s">
        <v>1492</v>
      </c>
    </row>
    <row r="213" spans="2:9" hidden="1" x14ac:dyDescent="0.25">
      <c r="B213" s="451" t="s">
        <v>3</v>
      </c>
      <c r="C213" s="452">
        <f>+C201*E207</f>
        <v>5759.1495000000004</v>
      </c>
      <c r="D213" s="453">
        <f>+D201*E207</f>
        <v>5307.4515000000001</v>
      </c>
      <c r="E213" s="453">
        <f>+E201*E207</f>
        <v>6775.47</v>
      </c>
      <c r="F213" s="453">
        <f>+F201*E207</f>
        <v>6323.7719999999999</v>
      </c>
    </row>
    <row r="214" spans="2:9" hidden="1" x14ac:dyDescent="0.25">
      <c r="B214" s="451" t="s">
        <v>4</v>
      </c>
      <c r="C214" s="452">
        <f>+C202*E207</f>
        <v>5081.6025</v>
      </c>
      <c r="D214" s="453">
        <f>+D202*E207</f>
        <v>4629.9045000000006</v>
      </c>
      <c r="E214" s="453">
        <f>+E202*E207</f>
        <v>6097.9230000000007</v>
      </c>
      <c r="F214" s="453">
        <f>+F202*E207</f>
        <v>5646.2250000000004</v>
      </c>
    </row>
    <row r="215" spans="2:9" hidden="1" x14ac:dyDescent="0.25">
      <c r="B215" s="451" t="s">
        <v>5</v>
      </c>
      <c r="C215" s="452">
        <f>+C203*E207</f>
        <v>4404.0555000000004</v>
      </c>
      <c r="D215" s="453">
        <f>+D203*E207</f>
        <v>4065.2820000000002</v>
      </c>
      <c r="E215" s="453">
        <f>+E203*E207</f>
        <v>5420.3760000000002</v>
      </c>
      <c r="F215" s="453">
        <f>+F203*E207</f>
        <v>4968.6779999999999</v>
      </c>
    </row>
    <row r="216" spans="2:9" hidden="1" x14ac:dyDescent="0.25">
      <c r="B216" s="451" t="s">
        <v>6</v>
      </c>
      <c r="C216" s="452">
        <f>+C204*E207</f>
        <v>3726.5085000000004</v>
      </c>
      <c r="D216" s="453">
        <f>+D204*E207</f>
        <v>3387.7350000000001</v>
      </c>
      <c r="E216" s="453">
        <f>+E204*E207</f>
        <v>4742.8290000000006</v>
      </c>
      <c r="F216" s="453">
        <f>+F204*E207</f>
        <v>4404.0555000000004</v>
      </c>
    </row>
    <row r="217" spans="2:9" hidden="1" x14ac:dyDescent="0.25">
      <c r="B217" s="451" t="s">
        <v>1493</v>
      </c>
      <c r="C217" s="452">
        <f>+C205*E207</f>
        <v>3274.8105</v>
      </c>
      <c r="D217" s="453">
        <f>+D205*E207</f>
        <v>3048.9615000000003</v>
      </c>
      <c r="E217" s="453">
        <f>+E205*E207</f>
        <v>4178.2065000000002</v>
      </c>
      <c r="F217" s="453">
        <f>+F205*E207</f>
        <v>3839.433</v>
      </c>
    </row>
    <row r="218" spans="2:9" hidden="1" x14ac:dyDescent="0.25"/>
    <row r="220" spans="2:9" s="122" customFormat="1" x14ac:dyDescent="0.25">
      <c r="I220" s="447"/>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C19" sqref="C19"/>
    </sheetView>
  </sheetViews>
  <sheetFormatPr baseColWidth="10" defaultRowHeight="15" x14ac:dyDescent="0.25"/>
  <cols>
    <col min="1" max="2" width="21.7109375" customWidth="1"/>
    <col min="3" max="3" width="27.42578125" customWidth="1"/>
    <col min="4" max="4" width="27.42578125" style="462"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20" width="14.140625" customWidth="1"/>
    <col min="21" max="21" width="17" customWidth="1"/>
  </cols>
  <sheetData>
    <row r="1" spans="1:21" ht="18.75" x14ac:dyDescent="0.25">
      <c r="B1" s="284"/>
      <c r="C1" s="500" t="s">
        <v>1587</v>
      </c>
      <c r="D1" s="500"/>
      <c r="E1" s="284"/>
      <c r="F1" s="284"/>
      <c r="G1" s="284"/>
      <c r="H1" s="284" t="s">
        <v>1404</v>
      </c>
      <c r="K1" s="284"/>
      <c r="L1" s="284"/>
      <c r="M1" s="284"/>
      <c r="N1" s="284"/>
      <c r="O1" s="284"/>
      <c r="P1" s="284"/>
      <c r="Q1" s="284"/>
      <c r="R1" s="284"/>
      <c r="S1" s="284"/>
      <c r="T1" s="284"/>
      <c r="U1" s="284"/>
    </row>
    <row r="2" spans="1:21" ht="18.75" x14ac:dyDescent="0.25">
      <c r="A2" s="269" t="s">
        <v>1345</v>
      </c>
      <c r="B2" s="284"/>
      <c r="C2" s="284"/>
      <c r="D2" s="284"/>
      <c r="E2" s="284"/>
      <c r="F2" s="284"/>
      <c r="G2" s="284"/>
      <c r="H2" s="284"/>
      <c r="K2" s="284"/>
      <c r="L2" s="284"/>
      <c r="M2" s="284"/>
      <c r="N2" s="284"/>
      <c r="O2" s="284"/>
      <c r="P2" s="284"/>
      <c r="Q2" s="284"/>
      <c r="R2" s="284"/>
      <c r="S2" s="284"/>
      <c r="T2" s="284"/>
      <c r="U2" s="284"/>
    </row>
    <row r="3" spans="1:21" x14ac:dyDescent="0.25">
      <c r="A3" s="708" t="s">
        <v>1405</v>
      </c>
      <c r="B3" s="708"/>
      <c r="C3" s="708"/>
      <c r="D3" s="708"/>
      <c r="E3" s="708"/>
      <c r="F3" s="708"/>
      <c r="G3" s="708"/>
      <c r="H3" s="708"/>
      <c r="I3" s="708"/>
      <c r="J3" s="708"/>
      <c r="K3" s="708"/>
      <c r="L3" s="708"/>
      <c r="M3" s="708"/>
      <c r="N3" s="708"/>
      <c r="O3" s="708"/>
      <c r="P3" s="708"/>
      <c r="Q3" s="708"/>
      <c r="R3" s="708"/>
      <c r="S3" s="708"/>
      <c r="T3" s="708"/>
      <c r="U3" s="708"/>
    </row>
    <row r="4" spans="1:21" ht="15" customHeight="1" x14ac:dyDescent="0.25">
      <c r="A4" s="666" t="s">
        <v>96</v>
      </c>
      <c r="B4" s="665" t="s">
        <v>110</v>
      </c>
      <c r="C4" s="668" t="s">
        <v>1514</v>
      </c>
      <c r="D4" s="668" t="s">
        <v>1515</v>
      </c>
      <c r="E4" s="668" t="s">
        <v>86</v>
      </c>
      <c r="F4" s="668" t="s">
        <v>390</v>
      </c>
      <c r="G4" s="668" t="s">
        <v>87</v>
      </c>
      <c r="H4" s="671" t="s">
        <v>99</v>
      </c>
      <c r="I4" s="677"/>
      <c r="J4" s="677"/>
      <c r="K4" s="677"/>
      <c r="L4" s="677"/>
      <c r="M4" s="677"/>
      <c r="N4" s="677"/>
      <c r="O4" s="672"/>
      <c r="P4" s="673" t="s">
        <v>100</v>
      </c>
      <c r="Q4" s="674"/>
      <c r="R4" s="665" t="s">
        <v>102</v>
      </c>
      <c r="S4" s="665" t="s">
        <v>109</v>
      </c>
      <c r="T4" s="665" t="s">
        <v>108</v>
      </c>
      <c r="U4" s="662" t="s">
        <v>88</v>
      </c>
    </row>
    <row r="5" spans="1:21" ht="15" customHeight="1" x14ac:dyDescent="0.25">
      <c r="A5" s="666"/>
      <c r="B5" s="666"/>
      <c r="C5" s="669"/>
      <c r="D5" s="669"/>
      <c r="E5" s="669"/>
      <c r="F5" s="669"/>
      <c r="G5" s="669"/>
      <c r="H5" s="671" t="s">
        <v>103</v>
      </c>
      <c r="I5" s="672"/>
      <c r="J5" s="671" t="s">
        <v>104</v>
      </c>
      <c r="K5" s="672"/>
      <c r="L5" s="671" t="s">
        <v>105</v>
      </c>
      <c r="M5" s="672"/>
      <c r="N5" s="671" t="s">
        <v>106</v>
      </c>
      <c r="O5" s="672"/>
      <c r="P5" s="675"/>
      <c r="Q5" s="676"/>
      <c r="R5" s="666"/>
      <c r="S5" s="666"/>
      <c r="T5" s="666"/>
      <c r="U5" s="663"/>
    </row>
    <row r="6" spans="1:21" ht="25.5" x14ac:dyDescent="0.25">
      <c r="A6" s="667"/>
      <c r="B6" s="667"/>
      <c r="C6" s="670"/>
      <c r="D6" s="670"/>
      <c r="E6" s="670"/>
      <c r="F6" s="670"/>
      <c r="G6" s="670"/>
      <c r="H6" s="438" t="s">
        <v>107</v>
      </c>
      <c r="I6" s="438" t="s">
        <v>12</v>
      </c>
      <c r="J6" s="438" t="s">
        <v>107</v>
      </c>
      <c r="K6" s="438" t="s">
        <v>12</v>
      </c>
      <c r="L6" s="438" t="s">
        <v>107</v>
      </c>
      <c r="M6" s="438" t="s">
        <v>12</v>
      </c>
      <c r="N6" s="438" t="s">
        <v>107</v>
      </c>
      <c r="O6" s="438" t="s">
        <v>12</v>
      </c>
      <c r="P6" s="438" t="s">
        <v>107</v>
      </c>
      <c r="Q6" s="438" t="s">
        <v>12</v>
      </c>
      <c r="R6" s="667"/>
      <c r="S6" s="667"/>
      <c r="T6" s="667"/>
      <c r="U6" s="664"/>
    </row>
    <row r="7" spans="1:21" s="365" customFormat="1" ht="15.75" x14ac:dyDescent="0.25">
      <c r="A7" s="439"/>
      <c r="B7" s="440"/>
      <c r="C7" s="441"/>
      <c r="D7" s="441"/>
      <c r="E7" s="441"/>
      <c r="F7" s="442"/>
      <c r="G7" s="441"/>
      <c r="H7" s="443"/>
      <c r="I7" s="443"/>
      <c r="J7" s="443"/>
      <c r="K7" s="443"/>
      <c r="L7" s="443"/>
      <c r="M7" s="443"/>
      <c r="N7" s="443"/>
      <c r="O7" s="443"/>
      <c r="P7" s="443"/>
      <c r="Q7" s="443"/>
      <c r="R7" s="444"/>
      <c r="S7" s="444"/>
      <c r="T7" s="444"/>
      <c r="U7" s="445"/>
    </row>
    <row r="8" spans="1:21" ht="15.75" customHeight="1" x14ac:dyDescent="0.25">
      <c r="A8" s="709" t="s">
        <v>1405</v>
      </c>
      <c r="B8" s="709" t="s">
        <v>1406</v>
      </c>
      <c r="C8" s="280"/>
      <c r="D8" s="489"/>
      <c r="E8" s="280"/>
      <c r="F8" s="280"/>
      <c r="G8" s="281"/>
      <c r="H8" s="281"/>
      <c r="I8" s="358"/>
      <c r="J8" s="281"/>
      <c r="K8" s="358"/>
      <c r="L8" s="281"/>
      <c r="M8" s="358"/>
      <c r="N8" s="281"/>
      <c r="O8" s="358"/>
      <c r="P8" s="398">
        <f>H8+J8+L8+N8</f>
        <v>0</v>
      </c>
      <c r="Q8" s="399">
        <f>I8+K8+M8+O8</f>
        <v>0</v>
      </c>
      <c r="R8" s="281"/>
      <c r="S8" s="281"/>
      <c r="T8" s="281"/>
      <c r="U8" s="281"/>
    </row>
    <row r="9" spans="1:21" ht="15.75" x14ac:dyDescent="0.25">
      <c r="A9" s="710"/>
      <c r="B9" s="710"/>
      <c r="C9" s="280"/>
      <c r="D9" s="489"/>
      <c r="E9" s="280"/>
      <c r="F9" s="280"/>
      <c r="G9" s="281"/>
      <c r="H9" s="281"/>
      <c r="I9" s="358"/>
      <c r="J9" s="281"/>
      <c r="K9" s="358"/>
      <c r="L9" s="281"/>
      <c r="M9" s="358"/>
      <c r="N9" s="281"/>
      <c r="O9" s="358"/>
      <c r="P9" s="398">
        <f t="shared" ref="P9:P20" si="0">H9+J9+L9+N9</f>
        <v>0</v>
      </c>
      <c r="Q9" s="399">
        <f t="shared" ref="Q9:Q20" si="1">I9+K9+M9+O9</f>
        <v>0</v>
      </c>
      <c r="R9" s="281"/>
      <c r="S9" s="281"/>
      <c r="T9" s="281"/>
      <c r="U9" s="281"/>
    </row>
    <row r="10" spans="1:21" ht="15.75" x14ac:dyDescent="0.25">
      <c r="A10" s="710"/>
      <c r="B10" s="710"/>
      <c r="C10" s="280"/>
      <c r="D10" s="489"/>
      <c r="E10" s="280"/>
      <c r="F10" s="280"/>
      <c r="G10" s="281"/>
      <c r="H10" s="281"/>
      <c r="I10" s="358"/>
      <c r="J10" s="281"/>
      <c r="K10" s="358"/>
      <c r="L10" s="281"/>
      <c r="M10" s="358"/>
      <c r="N10" s="281"/>
      <c r="O10" s="358"/>
      <c r="P10" s="398">
        <f t="shared" si="0"/>
        <v>0</v>
      </c>
      <c r="Q10" s="399">
        <f t="shared" si="1"/>
        <v>0</v>
      </c>
      <c r="R10" s="281"/>
      <c r="S10" s="281"/>
      <c r="T10" s="281"/>
      <c r="U10" s="281"/>
    </row>
    <row r="11" spans="1:21" ht="15.75" x14ac:dyDescent="0.25">
      <c r="A11" s="710"/>
      <c r="B11" s="710"/>
      <c r="C11" s="280"/>
      <c r="D11" s="489"/>
      <c r="E11" s="280"/>
      <c r="F11" s="280"/>
      <c r="G11" s="281"/>
      <c r="H11" s="281"/>
      <c r="I11" s="358"/>
      <c r="J11" s="281"/>
      <c r="K11" s="358"/>
      <c r="L11" s="281"/>
      <c r="M11" s="358"/>
      <c r="N11" s="281"/>
      <c r="O11" s="358"/>
      <c r="P11" s="398">
        <f t="shared" si="0"/>
        <v>0</v>
      </c>
      <c r="Q11" s="399">
        <f t="shared" si="1"/>
        <v>0</v>
      </c>
      <c r="R11" s="281"/>
      <c r="S11" s="281"/>
      <c r="T11" s="281"/>
      <c r="U11" s="281"/>
    </row>
    <row r="12" spans="1:21" ht="15.75" x14ac:dyDescent="0.25">
      <c r="A12" s="710"/>
      <c r="B12" s="710"/>
      <c r="C12" s="280"/>
      <c r="D12" s="489"/>
      <c r="E12" s="280"/>
      <c r="F12" s="280"/>
      <c r="G12" s="281"/>
      <c r="H12" s="281"/>
      <c r="I12" s="358"/>
      <c r="J12" s="281"/>
      <c r="K12" s="358"/>
      <c r="L12" s="281"/>
      <c r="M12" s="358"/>
      <c r="N12" s="281"/>
      <c r="O12" s="358"/>
      <c r="P12" s="398">
        <f t="shared" si="0"/>
        <v>0</v>
      </c>
      <c r="Q12" s="399">
        <f t="shared" si="1"/>
        <v>0</v>
      </c>
      <c r="R12" s="281"/>
      <c r="S12" s="281"/>
      <c r="T12" s="281"/>
      <c r="U12" s="281"/>
    </row>
    <row r="13" spans="1:21" s="365" customFormat="1" ht="15.75" x14ac:dyDescent="0.25">
      <c r="A13" s="710"/>
      <c r="B13" s="710"/>
      <c r="C13" s="404"/>
      <c r="D13" s="489"/>
      <c r="E13" s="404"/>
      <c r="F13" s="404"/>
      <c r="G13" s="281"/>
      <c r="H13" s="281"/>
      <c r="I13" s="358"/>
      <c r="J13" s="281"/>
      <c r="K13" s="358"/>
      <c r="L13" s="281"/>
      <c r="M13" s="358"/>
      <c r="N13" s="281"/>
      <c r="O13" s="358"/>
      <c r="P13" s="398">
        <f>H13+J13+L13+N13</f>
        <v>0</v>
      </c>
      <c r="Q13" s="399">
        <f>I13+K13+M13+O13</f>
        <v>0</v>
      </c>
      <c r="R13" s="281"/>
      <c r="S13" s="281"/>
      <c r="T13" s="281"/>
      <c r="U13" s="281"/>
    </row>
    <row r="14" spans="1:21" ht="15.75" x14ac:dyDescent="0.25">
      <c r="A14" s="710"/>
      <c r="B14" s="710"/>
      <c r="C14" s="280"/>
      <c r="D14" s="489"/>
      <c r="E14" s="280"/>
      <c r="F14" s="280"/>
      <c r="G14" s="281"/>
      <c r="H14" s="281"/>
      <c r="I14" s="358"/>
      <c r="J14" s="281"/>
      <c r="K14" s="358"/>
      <c r="L14" s="281"/>
      <c r="M14" s="358"/>
      <c r="N14" s="281"/>
      <c r="O14" s="358"/>
      <c r="P14" s="398">
        <f t="shared" si="0"/>
        <v>0</v>
      </c>
      <c r="Q14" s="399">
        <f t="shared" si="1"/>
        <v>0</v>
      </c>
      <c r="R14" s="281"/>
      <c r="S14" s="281"/>
      <c r="T14" s="281"/>
      <c r="U14" s="359"/>
    </row>
    <row r="15" spans="1:21" ht="15.75" customHeight="1" x14ac:dyDescent="0.25">
      <c r="A15" s="710"/>
      <c r="B15" s="710"/>
      <c r="C15" s="280"/>
      <c r="D15" s="489"/>
      <c r="E15" s="280"/>
      <c r="F15" s="280"/>
      <c r="G15" s="281"/>
      <c r="H15" s="281"/>
      <c r="I15" s="358"/>
      <c r="J15" s="281"/>
      <c r="K15" s="358"/>
      <c r="L15" s="360"/>
      <c r="M15" s="358"/>
      <c r="N15" s="281"/>
      <c r="O15" s="358"/>
      <c r="P15" s="398">
        <f t="shared" si="0"/>
        <v>0</v>
      </c>
      <c r="Q15" s="399">
        <f t="shared" si="1"/>
        <v>0</v>
      </c>
      <c r="R15" s="281"/>
      <c r="S15" s="281"/>
      <c r="T15" s="281"/>
      <c r="U15" s="281"/>
    </row>
    <row r="16" spans="1:21" ht="15.75" x14ac:dyDescent="0.25">
      <c r="A16" s="710"/>
      <c r="B16" s="710"/>
      <c r="C16" s="280"/>
      <c r="D16" s="489"/>
      <c r="E16" s="280"/>
      <c r="F16" s="280"/>
      <c r="G16" s="281"/>
      <c r="H16" s="281"/>
      <c r="I16" s="358"/>
      <c r="J16" s="281"/>
      <c r="K16" s="358"/>
      <c r="L16" s="360"/>
      <c r="M16" s="358"/>
      <c r="N16" s="281"/>
      <c r="O16" s="358"/>
      <c r="P16" s="398">
        <f t="shared" si="0"/>
        <v>0</v>
      </c>
      <c r="Q16" s="399">
        <f t="shared" si="1"/>
        <v>0</v>
      </c>
      <c r="R16" s="281"/>
      <c r="S16" s="281"/>
      <c r="T16" s="281"/>
      <c r="U16" s="281"/>
    </row>
    <row r="17" spans="1:21" ht="15.75" x14ac:dyDescent="0.25">
      <c r="A17" s="710"/>
      <c r="B17" s="710"/>
      <c r="C17" s="280"/>
      <c r="D17" s="489"/>
      <c r="E17" s="280"/>
      <c r="F17" s="280"/>
      <c r="G17" s="281"/>
      <c r="H17" s="281"/>
      <c r="I17" s="358"/>
      <c r="J17" s="281"/>
      <c r="K17" s="358"/>
      <c r="L17" s="360"/>
      <c r="M17" s="358"/>
      <c r="N17" s="281"/>
      <c r="O17" s="358"/>
      <c r="P17" s="398">
        <f t="shared" si="0"/>
        <v>0</v>
      </c>
      <c r="Q17" s="399">
        <f t="shared" si="1"/>
        <v>0</v>
      </c>
      <c r="R17" s="281"/>
      <c r="S17" s="281"/>
      <c r="T17" s="281"/>
      <c r="U17" s="281"/>
    </row>
    <row r="18" spans="1:21" ht="15.75" x14ac:dyDescent="0.25">
      <c r="A18" s="710"/>
      <c r="B18" s="710"/>
      <c r="C18" s="280"/>
      <c r="D18" s="489"/>
      <c r="E18" s="280"/>
      <c r="F18" s="280"/>
      <c r="G18" s="281"/>
      <c r="H18" s="281"/>
      <c r="I18" s="358"/>
      <c r="J18" s="281"/>
      <c r="K18" s="358"/>
      <c r="L18" s="360"/>
      <c r="M18" s="358"/>
      <c r="N18" s="281"/>
      <c r="O18" s="358"/>
      <c r="P18" s="398">
        <f t="shared" si="0"/>
        <v>0</v>
      </c>
      <c r="Q18" s="399">
        <f t="shared" si="1"/>
        <v>0</v>
      </c>
      <c r="R18" s="281"/>
      <c r="S18" s="281"/>
      <c r="T18" s="281"/>
      <c r="U18" s="281"/>
    </row>
    <row r="19" spans="1:21" ht="15.75" x14ac:dyDescent="0.25">
      <c r="A19" s="710"/>
      <c r="B19" s="710"/>
      <c r="C19" s="280"/>
      <c r="D19" s="489"/>
      <c r="E19" s="280"/>
      <c r="F19" s="280"/>
      <c r="G19" s="281"/>
      <c r="H19" s="281"/>
      <c r="I19" s="358"/>
      <c r="J19" s="281"/>
      <c r="K19" s="358"/>
      <c r="L19" s="281"/>
      <c r="M19" s="358"/>
      <c r="N19" s="281"/>
      <c r="O19" s="358"/>
      <c r="P19" s="398">
        <f t="shared" si="0"/>
        <v>0</v>
      </c>
      <c r="Q19" s="399">
        <f t="shared" si="1"/>
        <v>0</v>
      </c>
      <c r="R19" s="281"/>
      <c r="S19" s="281"/>
      <c r="T19" s="281"/>
      <c r="U19" s="361"/>
    </row>
    <row r="20" spans="1:21" ht="15.75" x14ac:dyDescent="0.25">
      <c r="A20" s="711"/>
      <c r="B20" s="711"/>
      <c r="C20" s="280"/>
      <c r="D20" s="489"/>
      <c r="E20" s="280"/>
      <c r="F20" s="280"/>
      <c r="G20" s="281"/>
      <c r="H20" s="281"/>
      <c r="I20" s="358"/>
      <c r="J20" s="281"/>
      <c r="K20" s="358"/>
      <c r="L20" s="281"/>
      <c r="M20" s="358"/>
      <c r="N20" s="281"/>
      <c r="O20" s="358"/>
      <c r="P20" s="398">
        <f t="shared" si="0"/>
        <v>0</v>
      </c>
      <c r="Q20" s="399">
        <f t="shared" si="1"/>
        <v>0</v>
      </c>
      <c r="R20" s="281"/>
      <c r="S20" s="281"/>
      <c r="T20" s="281"/>
      <c r="U20" s="281"/>
    </row>
    <row r="21" spans="1:21" ht="15.75" x14ac:dyDescent="0.25">
      <c r="A21" s="291"/>
      <c r="B21" s="292"/>
      <c r="C21" s="291" t="s">
        <v>1403</v>
      </c>
      <c r="D21" s="292"/>
      <c r="E21" s="292"/>
      <c r="F21" s="292"/>
      <c r="G21" s="293"/>
      <c r="H21" s="282">
        <f t="shared" ref="H21:Q21" si="2">SUM(H8:H20)</f>
        <v>0</v>
      </c>
      <c r="I21" s="283">
        <f t="shared" si="2"/>
        <v>0</v>
      </c>
      <c r="J21" s="282">
        <f t="shared" si="2"/>
        <v>0</v>
      </c>
      <c r="K21" s="283">
        <f t="shared" si="2"/>
        <v>0</v>
      </c>
      <c r="L21" s="282">
        <f t="shared" si="2"/>
        <v>0</v>
      </c>
      <c r="M21" s="283">
        <f t="shared" si="2"/>
        <v>0</v>
      </c>
      <c r="N21" s="282">
        <f t="shared" si="2"/>
        <v>0</v>
      </c>
      <c r="O21" s="283">
        <f t="shared" si="2"/>
        <v>0</v>
      </c>
      <c r="P21" s="283">
        <f t="shared" si="2"/>
        <v>0</v>
      </c>
      <c r="Q21" s="283">
        <f t="shared" si="2"/>
        <v>0</v>
      </c>
      <c r="R21" s="263"/>
      <c r="S21" s="263"/>
      <c r="T21" s="263"/>
      <c r="U21" s="263"/>
    </row>
    <row r="27" spans="1:21" x14ac:dyDescent="0.25">
      <c r="I27"/>
      <c r="K27"/>
      <c r="M27"/>
      <c r="O27"/>
      <c r="Q27"/>
    </row>
    <row r="28" spans="1:21" x14ac:dyDescent="0.25">
      <c r="I28"/>
      <c r="K28"/>
      <c r="M28"/>
      <c r="O28"/>
      <c r="Q28"/>
    </row>
    <row r="29" spans="1:21" x14ac:dyDescent="0.25">
      <c r="I29"/>
      <c r="K29"/>
      <c r="M29"/>
      <c r="O29"/>
      <c r="Q29"/>
    </row>
    <row r="30" spans="1:21" x14ac:dyDescent="0.25">
      <c r="I30"/>
      <c r="K30"/>
      <c r="M30"/>
      <c r="O30"/>
      <c r="Q30"/>
    </row>
    <row r="31" spans="1:21" x14ac:dyDescent="0.25">
      <c r="I31"/>
      <c r="K31"/>
      <c r="M31"/>
      <c r="O31"/>
      <c r="Q31"/>
    </row>
    <row r="32" spans="1:21"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sheetData>
  <mergeCells count="20">
    <mergeCell ref="D4:D6"/>
    <mergeCell ref="B8:B20"/>
    <mergeCell ref="A8:A20"/>
    <mergeCell ref="R4:R6"/>
    <mergeCell ref="S4:S6"/>
    <mergeCell ref="A3:U3"/>
    <mergeCell ref="A4:A6"/>
    <mergeCell ref="B4:B6"/>
    <mergeCell ref="C4:C6"/>
    <mergeCell ref="E4:E6"/>
    <mergeCell ref="F4:F6"/>
    <mergeCell ref="G4:G6"/>
    <mergeCell ref="H4:O4"/>
    <mergeCell ref="P4:Q5"/>
    <mergeCell ref="T4:T6"/>
    <mergeCell ref="U4:U6"/>
    <mergeCell ref="H5:I5"/>
    <mergeCell ref="J5:K5"/>
    <mergeCell ref="L5:M5"/>
    <mergeCell ref="N5:O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workbookViewId="0">
      <pane ySplit="8" topLeftCell="A9" activePane="bottomLeft" state="frozen"/>
      <selection activeCell="A7" sqref="A7"/>
      <selection pane="bottomLeft" activeCell="C55" sqref="C55"/>
    </sheetView>
  </sheetViews>
  <sheetFormatPr baseColWidth="10" defaultRowHeight="15" x14ac:dyDescent="0.25"/>
  <cols>
    <col min="1" max="2" width="21.7109375" customWidth="1"/>
    <col min="3" max="3" width="27.42578125" customWidth="1"/>
    <col min="4" max="4" width="27.42578125" style="462"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20" width="14.140625" customWidth="1"/>
    <col min="21" max="21" width="17" customWidth="1"/>
  </cols>
  <sheetData>
    <row r="1" spans="1:23" ht="18.75" x14ac:dyDescent="0.25">
      <c r="B1" s="284"/>
      <c r="C1" s="284"/>
      <c r="D1" s="284"/>
      <c r="E1" s="284"/>
      <c r="F1" s="284"/>
      <c r="G1" s="284"/>
      <c r="H1" s="284" t="s">
        <v>1504</v>
      </c>
      <c r="K1" s="284"/>
      <c r="L1" s="284"/>
      <c r="M1" s="284"/>
      <c r="N1" s="284"/>
      <c r="O1" s="284"/>
      <c r="P1" s="502" t="s">
        <v>1588</v>
      </c>
      <c r="Q1" s="502" t="s">
        <v>1589</v>
      </c>
      <c r="R1" s="502" t="s">
        <v>1590</v>
      </c>
      <c r="S1" s="502" t="s">
        <v>1591</v>
      </c>
      <c r="T1" s="502" t="s">
        <v>1592</v>
      </c>
      <c r="U1" s="502" t="s">
        <v>1593</v>
      </c>
      <c r="V1" s="502" t="s">
        <v>1594</v>
      </c>
      <c r="W1" s="502" t="s">
        <v>1595</v>
      </c>
    </row>
    <row r="2" spans="1:23" ht="18.75" x14ac:dyDescent="0.25">
      <c r="A2" s="269" t="s">
        <v>1345</v>
      </c>
      <c r="B2" s="284"/>
      <c r="C2" s="284"/>
      <c r="D2" s="284"/>
      <c r="E2" s="284"/>
      <c r="F2" s="284"/>
      <c r="G2" s="284"/>
      <c r="H2" s="284"/>
      <c r="K2" s="284"/>
      <c r="L2" s="284"/>
      <c r="M2" s="284"/>
      <c r="N2" s="284"/>
      <c r="O2" s="284"/>
      <c r="P2" s="284"/>
      <c r="Q2" s="284"/>
      <c r="R2" s="284"/>
      <c r="S2" s="284"/>
      <c r="T2" s="284"/>
      <c r="U2" s="284"/>
    </row>
    <row r="3" spans="1:23" x14ac:dyDescent="0.25">
      <c r="A3" s="708" t="s">
        <v>1400</v>
      </c>
      <c r="B3" s="708"/>
      <c r="C3" s="708"/>
      <c r="D3" s="708"/>
      <c r="E3" s="708"/>
      <c r="F3" s="708"/>
      <c r="G3" s="708"/>
      <c r="H3" s="708"/>
      <c r="I3" s="708"/>
      <c r="J3" s="708"/>
      <c r="K3" s="708"/>
      <c r="L3" s="708"/>
      <c r="M3" s="708"/>
      <c r="N3" s="708"/>
      <c r="O3" s="708"/>
      <c r="P3" s="708"/>
      <c r="Q3" s="708"/>
      <c r="R3" s="708"/>
      <c r="S3" s="708"/>
      <c r="T3" s="708"/>
      <c r="U3" s="708"/>
    </row>
    <row r="4" spans="1:23" s="365" customFormat="1" x14ac:dyDescent="0.25">
      <c r="A4" s="377" t="s">
        <v>1399</v>
      </c>
      <c r="B4" s="375"/>
      <c r="C4" s="375"/>
      <c r="D4" s="488"/>
      <c r="E4" s="375"/>
      <c r="F4" s="375"/>
      <c r="G4" s="375"/>
      <c r="H4" s="375"/>
      <c r="I4" s="375"/>
      <c r="J4" s="375"/>
      <c r="K4" s="375"/>
      <c r="L4" s="375"/>
      <c r="M4" s="375"/>
      <c r="N4" s="375"/>
      <c r="O4" s="375"/>
      <c r="P4" s="375"/>
      <c r="Q4" s="375"/>
      <c r="R4" s="375"/>
      <c r="S4" s="375"/>
      <c r="T4" s="375"/>
      <c r="U4" s="375"/>
    </row>
    <row r="5" spans="1:23" x14ac:dyDescent="0.25">
      <c r="A5" s="315" t="s">
        <v>1466</v>
      </c>
      <c r="B5" s="269"/>
      <c r="C5" s="269"/>
      <c r="D5" s="269"/>
      <c r="E5" s="269"/>
      <c r="F5" s="269"/>
      <c r="G5" s="269"/>
      <c r="H5" s="269"/>
      <c r="I5" s="269"/>
      <c r="J5" s="269"/>
      <c r="K5" s="269"/>
      <c r="L5" s="269"/>
      <c r="M5" s="269"/>
      <c r="N5" s="269"/>
      <c r="O5" s="269"/>
      <c r="P5" s="269"/>
      <c r="Q5" s="269"/>
      <c r="R5" s="269"/>
      <c r="S5" s="269"/>
      <c r="T5" s="269"/>
      <c r="U5" s="269"/>
    </row>
    <row r="6" spans="1:23" ht="15" customHeight="1" x14ac:dyDescent="0.25">
      <c r="A6" s="666" t="s">
        <v>96</v>
      </c>
      <c r="B6" s="665" t="s">
        <v>110</v>
      </c>
      <c r="C6" s="668" t="s">
        <v>1514</v>
      </c>
      <c r="D6" s="668" t="s">
        <v>1515</v>
      </c>
      <c r="E6" s="668" t="s">
        <v>86</v>
      </c>
      <c r="F6" s="668" t="s">
        <v>390</v>
      </c>
      <c r="G6" s="668" t="s">
        <v>87</v>
      </c>
      <c r="H6" s="671" t="s">
        <v>99</v>
      </c>
      <c r="I6" s="677"/>
      <c r="J6" s="677"/>
      <c r="K6" s="677"/>
      <c r="L6" s="677"/>
      <c r="M6" s="677"/>
      <c r="N6" s="677"/>
      <c r="O6" s="672"/>
      <c r="P6" s="673" t="s">
        <v>100</v>
      </c>
      <c r="Q6" s="674"/>
      <c r="R6" s="665" t="s">
        <v>102</v>
      </c>
      <c r="S6" s="665" t="s">
        <v>109</v>
      </c>
      <c r="T6" s="665" t="s">
        <v>108</v>
      </c>
      <c r="U6" s="662" t="s">
        <v>88</v>
      </c>
    </row>
    <row r="7" spans="1:23" ht="15" customHeight="1" x14ac:dyDescent="0.25">
      <c r="A7" s="666"/>
      <c r="B7" s="666"/>
      <c r="C7" s="669"/>
      <c r="D7" s="669"/>
      <c r="E7" s="669"/>
      <c r="F7" s="669"/>
      <c r="G7" s="669"/>
      <c r="H7" s="671" t="s">
        <v>103</v>
      </c>
      <c r="I7" s="672"/>
      <c r="J7" s="671" t="s">
        <v>104</v>
      </c>
      <c r="K7" s="672"/>
      <c r="L7" s="671" t="s">
        <v>105</v>
      </c>
      <c r="M7" s="672"/>
      <c r="N7" s="671" t="s">
        <v>106</v>
      </c>
      <c r="O7" s="672"/>
      <c r="P7" s="675"/>
      <c r="Q7" s="676"/>
      <c r="R7" s="666"/>
      <c r="S7" s="666"/>
      <c r="T7" s="666"/>
      <c r="U7" s="663"/>
    </row>
    <row r="8" spans="1:23" ht="25.5" x14ac:dyDescent="0.25">
      <c r="A8" s="667"/>
      <c r="B8" s="667"/>
      <c r="C8" s="670"/>
      <c r="D8" s="670"/>
      <c r="E8" s="670"/>
      <c r="F8" s="670"/>
      <c r="G8" s="670"/>
      <c r="H8" s="438" t="s">
        <v>107</v>
      </c>
      <c r="I8" s="438" t="s">
        <v>12</v>
      </c>
      <c r="J8" s="438" t="s">
        <v>107</v>
      </c>
      <c r="K8" s="438" t="s">
        <v>12</v>
      </c>
      <c r="L8" s="438" t="s">
        <v>107</v>
      </c>
      <c r="M8" s="438" t="s">
        <v>12</v>
      </c>
      <c r="N8" s="438" t="s">
        <v>107</v>
      </c>
      <c r="O8" s="438" t="s">
        <v>12</v>
      </c>
      <c r="P8" s="438" t="s">
        <v>107</v>
      </c>
      <c r="Q8" s="438" t="s">
        <v>12</v>
      </c>
      <c r="R8" s="667"/>
      <c r="S8" s="667"/>
      <c r="T8" s="667"/>
      <c r="U8" s="664"/>
    </row>
    <row r="9" spans="1:23" s="365" customFormat="1" ht="15.75" x14ac:dyDescent="0.25">
      <c r="A9" s="439"/>
      <c r="B9" s="440"/>
      <c r="C9" s="441"/>
      <c r="D9" s="441"/>
      <c r="E9" s="441"/>
      <c r="F9" s="442"/>
      <c r="G9" s="441"/>
      <c r="H9" s="443"/>
      <c r="I9" s="443"/>
      <c r="J9" s="443"/>
      <c r="K9" s="443"/>
      <c r="L9" s="443"/>
      <c r="M9" s="443"/>
      <c r="N9" s="443"/>
      <c r="O9" s="443"/>
      <c r="P9" s="443"/>
      <c r="Q9" s="443"/>
      <c r="R9" s="444"/>
      <c r="S9" s="444"/>
      <c r="T9" s="444"/>
      <c r="U9" s="445"/>
    </row>
    <row r="10" spans="1:23" ht="15.75" x14ac:dyDescent="0.25">
      <c r="A10" s="709" t="s">
        <v>1400</v>
      </c>
      <c r="B10" s="709" t="s">
        <v>1401</v>
      </c>
      <c r="C10" s="280"/>
      <c r="D10" s="489"/>
      <c r="E10" s="280"/>
      <c r="F10" s="280"/>
      <c r="G10" s="281"/>
      <c r="H10" s="281"/>
      <c r="I10" s="358"/>
      <c r="J10" s="281"/>
      <c r="K10" s="358"/>
      <c r="L10" s="281"/>
      <c r="M10" s="358"/>
      <c r="N10" s="281"/>
      <c r="O10" s="358"/>
      <c r="P10" s="398">
        <f>H10+J10+L10+N10</f>
        <v>0</v>
      </c>
      <c r="Q10" s="399">
        <f>I10+K10+M10+O10</f>
        <v>0</v>
      </c>
      <c r="R10" s="281"/>
      <c r="S10" s="281"/>
      <c r="T10" s="281"/>
      <c r="U10" s="281"/>
    </row>
    <row r="11" spans="1:23" ht="15.75" x14ac:dyDescent="0.25">
      <c r="A11" s="710"/>
      <c r="B11" s="710"/>
      <c r="C11" s="280"/>
      <c r="D11" s="489"/>
      <c r="E11" s="280"/>
      <c r="F11" s="280"/>
      <c r="G11" s="281"/>
      <c r="H11" s="281"/>
      <c r="I11" s="358"/>
      <c r="J11" s="281"/>
      <c r="K11" s="358"/>
      <c r="L11" s="281"/>
      <c r="M11" s="358"/>
      <c r="N11" s="281"/>
      <c r="O11" s="358"/>
      <c r="P11" s="398">
        <f t="shared" ref="P11:P35" si="0">H11+J11+L11+N11</f>
        <v>0</v>
      </c>
      <c r="Q11" s="399">
        <f t="shared" ref="Q11:Q35" si="1">I11+K11+M11+O11</f>
        <v>0</v>
      </c>
      <c r="R11" s="281"/>
      <c r="S11" s="281"/>
      <c r="T11" s="281"/>
      <c r="U11" s="281"/>
    </row>
    <row r="12" spans="1:23" ht="15.75" x14ac:dyDescent="0.25">
      <c r="A12" s="710"/>
      <c r="B12" s="710"/>
      <c r="C12" s="280"/>
      <c r="D12" s="489"/>
      <c r="E12" s="280"/>
      <c r="F12" s="280"/>
      <c r="G12" s="281"/>
      <c r="H12" s="281"/>
      <c r="I12" s="358"/>
      <c r="J12" s="281"/>
      <c r="K12" s="358"/>
      <c r="L12" s="281"/>
      <c r="M12" s="358"/>
      <c r="N12" s="281"/>
      <c r="O12" s="358"/>
      <c r="P12" s="398">
        <f t="shared" si="0"/>
        <v>0</v>
      </c>
      <c r="Q12" s="399">
        <f t="shared" si="1"/>
        <v>0</v>
      </c>
      <c r="R12" s="281"/>
      <c r="S12" s="281"/>
      <c r="T12" s="281"/>
      <c r="U12" s="281"/>
    </row>
    <row r="13" spans="1:23" ht="15.75" x14ac:dyDescent="0.25">
      <c r="A13" s="710"/>
      <c r="B13" s="710"/>
      <c r="C13" s="280"/>
      <c r="D13" s="489"/>
      <c r="E13" s="280"/>
      <c r="F13" s="280"/>
      <c r="G13" s="281"/>
      <c r="H13" s="281"/>
      <c r="I13" s="358"/>
      <c r="J13" s="281"/>
      <c r="K13" s="358"/>
      <c r="L13" s="281"/>
      <c r="M13" s="358"/>
      <c r="N13" s="281"/>
      <c r="O13" s="358"/>
      <c r="P13" s="398">
        <f t="shared" si="0"/>
        <v>0</v>
      </c>
      <c r="Q13" s="399">
        <f t="shared" si="1"/>
        <v>0</v>
      </c>
      <c r="R13" s="281"/>
      <c r="S13" s="281"/>
      <c r="T13" s="281"/>
      <c r="U13" s="281"/>
    </row>
    <row r="14" spans="1:23" ht="15.75" x14ac:dyDescent="0.25">
      <c r="A14" s="710"/>
      <c r="B14" s="710"/>
      <c r="C14" s="280"/>
      <c r="D14" s="489"/>
      <c r="E14" s="280"/>
      <c r="F14" s="280"/>
      <c r="G14" s="281"/>
      <c r="H14" s="281"/>
      <c r="I14" s="358"/>
      <c r="J14" s="281"/>
      <c r="K14" s="358"/>
      <c r="L14" s="281"/>
      <c r="M14" s="358"/>
      <c r="N14" s="281"/>
      <c r="O14" s="358"/>
      <c r="P14" s="398">
        <f t="shared" si="0"/>
        <v>0</v>
      </c>
      <c r="Q14" s="399">
        <f t="shared" si="1"/>
        <v>0</v>
      </c>
      <c r="R14" s="281"/>
      <c r="S14" s="281"/>
      <c r="T14" s="281"/>
      <c r="U14" s="281"/>
    </row>
    <row r="15" spans="1:23" ht="15.75" x14ac:dyDescent="0.25">
      <c r="A15" s="711"/>
      <c r="B15" s="711"/>
      <c r="C15" s="280"/>
      <c r="D15" s="489"/>
      <c r="E15" s="280"/>
      <c r="F15" s="280"/>
      <c r="G15" s="281"/>
      <c r="H15" s="281"/>
      <c r="I15" s="358"/>
      <c r="J15" s="281"/>
      <c r="K15" s="358"/>
      <c r="L15" s="281"/>
      <c r="M15" s="358"/>
      <c r="N15" s="281"/>
      <c r="O15" s="358"/>
      <c r="P15" s="398">
        <f t="shared" si="0"/>
        <v>0</v>
      </c>
      <c r="Q15" s="399">
        <f t="shared" si="1"/>
        <v>0</v>
      </c>
      <c r="R15" s="281"/>
      <c r="S15" s="281"/>
      <c r="T15" s="281"/>
      <c r="U15" s="359"/>
    </row>
    <row r="16" spans="1:23" ht="15.75" customHeight="1" x14ac:dyDescent="0.25">
      <c r="A16" s="709" t="s">
        <v>1399</v>
      </c>
      <c r="B16" s="709" t="s">
        <v>1402</v>
      </c>
      <c r="C16" s="280"/>
      <c r="D16" s="489"/>
      <c r="E16" s="280"/>
      <c r="F16" s="280"/>
      <c r="G16" s="281"/>
      <c r="H16" s="281"/>
      <c r="I16" s="358"/>
      <c r="J16" s="281"/>
      <c r="K16" s="358"/>
      <c r="L16" s="360"/>
      <c r="M16" s="358"/>
      <c r="N16" s="281"/>
      <c r="O16" s="358"/>
      <c r="P16" s="398">
        <f t="shared" si="0"/>
        <v>0</v>
      </c>
      <c r="Q16" s="399">
        <f t="shared" si="1"/>
        <v>0</v>
      </c>
      <c r="R16" s="281"/>
      <c r="S16" s="281"/>
      <c r="T16" s="281"/>
      <c r="U16" s="281"/>
    </row>
    <row r="17" spans="1:21" ht="15.75" x14ac:dyDescent="0.25">
      <c r="A17" s="710"/>
      <c r="B17" s="710"/>
      <c r="C17" s="280"/>
      <c r="D17" s="489"/>
      <c r="E17" s="280"/>
      <c r="F17" s="280"/>
      <c r="G17" s="281"/>
      <c r="H17" s="281"/>
      <c r="I17" s="358"/>
      <c r="J17" s="281"/>
      <c r="K17" s="358"/>
      <c r="L17" s="360"/>
      <c r="M17" s="358"/>
      <c r="N17" s="281"/>
      <c r="O17" s="358"/>
      <c r="P17" s="398">
        <f t="shared" si="0"/>
        <v>0</v>
      </c>
      <c r="Q17" s="399">
        <f t="shared" si="1"/>
        <v>0</v>
      </c>
      <c r="R17" s="281"/>
      <c r="S17" s="281"/>
      <c r="T17" s="281"/>
      <c r="U17" s="281"/>
    </row>
    <row r="18" spans="1:21" ht="15.75" x14ac:dyDescent="0.25">
      <c r="A18" s="710"/>
      <c r="B18" s="710"/>
      <c r="C18" s="280"/>
      <c r="D18" s="489"/>
      <c r="E18" s="280"/>
      <c r="F18" s="280"/>
      <c r="G18" s="281"/>
      <c r="H18" s="281"/>
      <c r="I18" s="358"/>
      <c r="J18" s="281"/>
      <c r="K18" s="358"/>
      <c r="L18" s="360"/>
      <c r="M18" s="358"/>
      <c r="N18" s="281"/>
      <c r="O18" s="358"/>
      <c r="P18" s="398">
        <f t="shared" si="0"/>
        <v>0</v>
      </c>
      <c r="Q18" s="399">
        <f t="shared" si="1"/>
        <v>0</v>
      </c>
      <c r="R18" s="281"/>
      <c r="S18" s="281"/>
      <c r="T18" s="281"/>
      <c r="U18" s="281"/>
    </row>
    <row r="19" spans="1:21" ht="15.75" x14ac:dyDescent="0.25">
      <c r="A19" s="710"/>
      <c r="B19" s="710"/>
      <c r="C19" s="280"/>
      <c r="D19" s="489"/>
      <c r="E19" s="280"/>
      <c r="F19" s="280"/>
      <c r="G19" s="281"/>
      <c r="H19" s="281"/>
      <c r="I19" s="358"/>
      <c r="J19" s="281"/>
      <c r="K19" s="358"/>
      <c r="L19" s="360"/>
      <c r="M19" s="358"/>
      <c r="N19" s="281"/>
      <c r="O19" s="358"/>
      <c r="P19" s="398">
        <f t="shared" si="0"/>
        <v>0</v>
      </c>
      <c r="Q19" s="399">
        <f t="shared" si="1"/>
        <v>0</v>
      </c>
      <c r="R19" s="281"/>
      <c r="S19" s="281"/>
      <c r="T19" s="281"/>
      <c r="U19" s="281"/>
    </row>
    <row r="20" spans="1:21" ht="15.75" x14ac:dyDescent="0.25">
      <c r="A20" s="710"/>
      <c r="B20" s="710"/>
      <c r="C20" s="280"/>
      <c r="D20" s="489"/>
      <c r="E20" s="280"/>
      <c r="F20" s="280"/>
      <c r="G20" s="281"/>
      <c r="H20" s="281"/>
      <c r="I20" s="358"/>
      <c r="J20" s="281"/>
      <c r="K20" s="358"/>
      <c r="L20" s="281"/>
      <c r="M20" s="358"/>
      <c r="N20" s="281"/>
      <c r="O20" s="358"/>
      <c r="P20" s="398">
        <f t="shared" si="0"/>
        <v>0</v>
      </c>
      <c r="Q20" s="399">
        <f t="shared" si="1"/>
        <v>0</v>
      </c>
      <c r="R20" s="281"/>
      <c r="S20" s="281"/>
      <c r="T20" s="281"/>
      <c r="U20" s="361"/>
    </row>
    <row r="21" spans="1:21" s="365" customFormat="1" ht="15.75" x14ac:dyDescent="0.25">
      <c r="A21" s="710"/>
      <c r="B21" s="710"/>
      <c r="C21" s="376"/>
      <c r="D21" s="489"/>
      <c r="E21" s="376"/>
      <c r="F21" s="376"/>
      <c r="G21" s="281"/>
      <c r="H21" s="281"/>
      <c r="I21" s="358"/>
      <c r="J21" s="281"/>
      <c r="K21" s="358"/>
      <c r="L21" s="281"/>
      <c r="M21" s="358"/>
      <c r="N21" s="281"/>
      <c r="O21" s="358"/>
      <c r="P21" s="398">
        <f t="shared" si="0"/>
        <v>0</v>
      </c>
      <c r="Q21" s="399">
        <f t="shared" si="1"/>
        <v>0</v>
      </c>
      <c r="R21" s="281"/>
      <c r="S21" s="281"/>
      <c r="T21" s="281"/>
      <c r="U21" s="361"/>
    </row>
    <row r="22" spans="1:21" s="365" customFormat="1" ht="15.75" x14ac:dyDescent="0.25">
      <c r="A22" s="710"/>
      <c r="B22" s="710"/>
      <c r="C22" s="376"/>
      <c r="D22" s="489"/>
      <c r="E22" s="376"/>
      <c r="F22" s="376"/>
      <c r="G22" s="281"/>
      <c r="H22" s="281"/>
      <c r="I22" s="358"/>
      <c r="J22" s="281"/>
      <c r="K22" s="358"/>
      <c r="L22" s="281"/>
      <c r="M22" s="358"/>
      <c r="N22" s="281"/>
      <c r="O22" s="358"/>
      <c r="P22" s="398">
        <f t="shared" si="0"/>
        <v>0</v>
      </c>
      <c r="Q22" s="399">
        <f t="shared" si="1"/>
        <v>0</v>
      </c>
      <c r="R22" s="281"/>
      <c r="S22" s="281"/>
      <c r="T22" s="281"/>
      <c r="U22" s="361"/>
    </row>
    <row r="23" spans="1:21" s="365" customFormat="1" ht="15.75" x14ac:dyDescent="0.25">
      <c r="A23" s="710"/>
      <c r="B23" s="710"/>
      <c r="C23" s="376"/>
      <c r="D23" s="489"/>
      <c r="E23" s="376"/>
      <c r="F23" s="376"/>
      <c r="G23" s="281"/>
      <c r="H23" s="281"/>
      <c r="I23" s="358"/>
      <c r="J23" s="281"/>
      <c r="K23" s="358"/>
      <c r="L23" s="281"/>
      <c r="M23" s="358"/>
      <c r="N23" s="281"/>
      <c r="O23" s="358"/>
      <c r="P23" s="398">
        <f t="shared" si="0"/>
        <v>0</v>
      </c>
      <c r="Q23" s="399">
        <f t="shared" si="1"/>
        <v>0</v>
      </c>
      <c r="R23" s="281"/>
      <c r="S23" s="281"/>
      <c r="T23" s="281"/>
      <c r="U23" s="361"/>
    </row>
    <row r="24" spans="1:21" s="365" customFormat="1" ht="15.75" x14ac:dyDescent="0.25">
      <c r="A24" s="710"/>
      <c r="B24" s="710"/>
      <c r="C24" s="376"/>
      <c r="D24" s="489"/>
      <c r="E24" s="376"/>
      <c r="F24" s="376"/>
      <c r="G24" s="281"/>
      <c r="H24" s="281"/>
      <c r="I24" s="358"/>
      <c r="J24" s="281"/>
      <c r="K24" s="358"/>
      <c r="L24" s="281"/>
      <c r="M24" s="358"/>
      <c r="N24" s="281"/>
      <c r="O24" s="358"/>
      <c r="P24" s="398">
        <f t="shared" si="0"/>
        <v>0</v>
      </c>
      <c r="Q24" s="399">
        <f t="shared" si="1"/>
        <v>0</v>
      </c>
      <c r="R24" s="281"/>
      <c r="S24" s="281"/>
      <c r="T24" s="281"/>
      <c r="U24" s="361"/>
    </row>
    <row r="25" spans="1:21" s="365" customFormat="1" ht="15.75" x14ac:dyDescent="0.25">
      <c r="A25" s="712" t="s">
        <v>1466</v>
      </c>
      <c r="B25" s="712" t="s">
        <v>1423</v>
      </c>
      <c r="C25" s="376"/>
      <c r="D25" s="489"/>
      <c r="E25" s="376"/>
      <c r="F25" s="376"/>
      <c r="G25" s="281"/>
      <c r="H25" s="281"/>
      <c r="I25" s="358"/>
      <c r="J25" s="281"/>
      <c r="K25" s="358"/>
      <c r="L25" s="281"/>
      <c r="M25" s="358"/>
      <c r="N25" s="281"/>
      <c r="O25" s="358"/>
      <c r="P25" s="398">
        <f t="shared" si="0"/>
        <v>0</v>
      </c>
      <c r="Q25" s="399">
        <f t="shared" si="1"/>
        <v>0</v>
      </c>
      <c r="R25" s="281"/>
      <c r="S25" s="281"/>
      <c r="T25" s="281"/>
      <c r="U25" s="361"/>
    </row>
    <row r="26" spans="1:21" s="365" customFormat="1" ht="15.75" x14ac:dyDescent="0.25">
      <c r="A26" s="712"/>
      <c r="B26" s="712"/>
      <c r="C26" s="376"/>
      <c r="D26" s="489"/>
      <c r="E26" s="376"/>
      <c r="F26" s="376"/>
      <c r="G26" s="281"/>
      <c r="H26" s="281"/>
      <c r="I26" s="358"/>
      <c r="J26" s="281"/>
      <c r="K26" s="358"/>
      <c r="L26" s="281"/>
      <c r="M26" s="358"/>
      <c r="N26" s="281"/>
      <c r="O26" s="358"/>
      <c r="P26" s="398">
        <f t="shared" si="0"/>
        <v>0</v>
      </c>
      <c r="Q26" s="399">
        <f t="shared" si="1"/>
        <v>0</v>
      </c>
      <c r="R26" s="281"/>
      <c r="S26" s="281"/>
      <c r="T26" s="281"/>
      <c r="U26" s="361"/>
    </row>
    <row r="27" spans="1:21" s="365" customFormat="1" ht="15.75" x14ac:dyDescent="0.25">
      <c r="A27" s="712"/>
      <c r="B27" s="712"/>
      <c r="C27" s="376"/>
      <c r="D27" s="489"/>
      <c r="E27" s="376"/>
      <c r="F27" s="376"/>
      <c r="G27" s="281"/>
      <c r="H27" s="281"/>
      <c r="I27" s="358"/>
      <c r="J27" s="281"/>
      <c r="K27" s="358"/>
      <c r="L27" s="281"/>
      <c r="M27" s="358"/>
      <c r="N27" s="281"/>
      <c r="O27" s="358"/>
      <c r="P27" s="398">
        <f t="shared" si="0"/>
        <v>0</v>
      </c>
      <c r="Q27" s="399">
        <f t="shared" si="1"/>
        <v>0</v>
      </c>
      <c r="R27" s="281"/>
      <c r="S27" s="281"/>
      <c r="T27" s="281"/>
      <c r="U27" s="361"/>
    </row>
    <row r="28" spans="1:21" s="365" customFormat="1" ht="15.75" x14ac:dyDescent="0.25">
      <c r="A28" s="712"/>
      <c r="B28" s="712"/>
      <c r="C28" s="376"/>
      <c r="D28" s="489"/>
      <c r="E28" s="376"/>
      <c r="F28" s="376"/>
      <c r="G28" s="281"/>
      <c r="H28" s="281"/>
      <c r="I28" s="358"/>
      <c r="J28" s="281"/>
      <c r="K28" s="358"/>
      <c r="L28" s="281"/>
      <c r="M28" s="358"/>
      <c r="N28" s="281"/>
      <c r="O28" s="358"/>
      <c r="P28" s="398">
        <f t="shared" si="0"/>
        <v>0</v>
      </c>
      <c r="Q28" s="399">
        <f t="shared" si="1"/>
        <v>0</v>
      </c>
      <c r="R28" s="281"/>
      <c r="S28" s="281"/>
      <c r="T28" s="281"/>
      <c r="U28" s="361"/>
    </row>
    <row r="29" spans="1:21" s="365" customFormat="1" ht="15.75" x14ac:dyDescent="0.25">
      <c r="A29" s="712"/>
      <c r="B29" s="712"/>
      <c r="C29" s="376"/>
      <c r="D29" s="489"/>
      <c r="E29" s="376"/>
      <c r="F29" s="376"/>
      <c r="G29" s="281"/>
      <c r="H29" s="281"/>
      <c r="I29" s="358"/>
      <c r="J29" s="281"/>
      <c r="K29" s="358"/>
      <c r="L29" s="281"/>
      <c r="M29" s="358"/>
      <c r="N29" s="281"/>
      <c r="O29" s="358"/>
      <c r="P29" s="398">
        <f t="shared" si="0"/>
        <v>0</v>
      </c>
      <c r="Q29" s="399">
        <f t="shared" si="1"/>
        <v>0</v>
      </c>
      <c r="R29" s="281"/>
      <c r="S29" s="281"/>
      <c r="T29" s="281"/>
      <c r="U29" s="361"/>
    </row>
    <row r="30" spans="1:21" s="365" customFormat="1" ht="15.75" x14ac:dyDescent="0.25">
      <c r="A30" s="712"/>
      <c r="B30" s="712"/>
      <c r="C30" s="376"/>
      <c r="D30" s="489"/>
      <c r="E30" s="376"/>
      <c r="F30" s="376"/>
      <c r="G30" s="281"/>
      <c r="H30" s="281"/>
      <c r="I30" s="358"/>
      <c r="J30" s="281"/>
      <c r="K30" s="358"/>
      <c r="L30" s="281"/>
      <c r="M30" s="358"/>
      <c r="N30" s="281"/>
      <c r="O30" s="358"/>
      <c r="P30" s="398">
        <f t="shared" si="0"/>
        <v>0</v>
      </c>
      <c r="Q30" s="399">
        <f t="shared" si="1"/>
        <v>0</v>
      </c>
      <c r="R30" s="281"/>
      <c r="S30" s="281"/>
      <c r="T30" s="281"/>
      <c r="U30" s="361"/>
    </row>
    <row r="31" spans="1:21" s="365" customFormat="1" ht="15.75" x14ac:dyDescent="0.25">
      <c r="A31" s="712"/>
      <c r="B31" s="712"/>
      <c r="C31" s="376"/>
      <c r="D31" s="489"/>
      <c r="E31" s="376"/>
      <c r="F31" s="376"/>
      <c r="G31" s="281"/>
      <c r="H31" s="281"/>
      <c r="I31" s="358"/>
      <c r="J31" s="281"/>
      <c r="K31" s="358"/>
      <c r="L31" s="281"/>
      <c r="M31" s="358"/>
      <c r="N31" s="281"/>
      <c r="O31" s="358"/>
      <c r="P31" s="398">
        <f t="shared" si="0"/>
        <v>0</v>
      </c>
      <c r="Q31" s="399">
        <f t="shared" si="1"/>
        <v>0</v>
      </c>
      <c r="R31" s="281"/>
      <c r="S31" s="281"/>
      <c r="T31" s="281"/>
      <c r="U31" s="361"/>
    </row>
    <row r="32" spans="1:21" s="365" customFormat="1" ht="15.75" x14ac:dyDescent="0.25">
      <c r="A32" s="712"/>
      <c r="B32" s="712"/>
      <c r="C32" s="376"/>
      <c r="D32" s="489"/>
      <c r="E32" s="376"/>
      <c r="F32" s="376"/>
      <c r="G32" s="281"/>
      <c r="H32" s="281"/>
      <c r="I32" s="358"/>
      <c r="J32" s="281"/>
      <c r="K32" s="358"/>
      <c r="L32" s="281"/>
      <c r="M32" s="358"/>
      <c r="N32" s="281"/>
      <c r="O32" s="358"/>
      <c r="P32" s="398">
        <f t="shared" si="0"/>
        <v>0</v>
      </c>
      <c r="Q32" s="399">
        <f t="shared" si="1"/>
        <v>0</v>
      </c>
      <c r="R32" s="281"/>
      <c r="S32" s="281"/>
      <c r="T32" s="281"/>
      <c r="U32" s="361"/>
    </row>
    <row r="33" spans="1:21" s="365" customFormat="1" ht="15.75" x14ac:dyDescent="0.25">
      <c r="A33" s="712"/>
      <c r="B33" s="712"/>
      <c r="C33" s="376"/>
      <c r="D33" s="489"/>
      <c r="E33" s="376"/>
      <c r="F33" s="376"/>
      <c r="G33" s="281"/>
      <c r="H33" s="281"/>
      <c r="I33" s="358"/>
      <c r="J33" s="281"/>
      <c r="K33" s="358"/>
      <c r="L33" s="281"/>
      <c r="M33" s="358"/>
      <c r="N33" s="281"/>
      <c r="O33" s="358"/>
      <c r="P33" s="398">
        <f t="shared" si="0"/>
        <v>0</v>
      </c>
      <c r="Q33" s="399">
        <f t="shared" si="1"/>
        <v>0</v>
      </c>
      <c r="R33" s="281"/>
      <c r="S33" s="281"/>
      <c r="T33" s="281"/>
      <c r="U33" s="361"/>
    </row>
    <row r="34" spans="1:21" s="365" customFormat="1" ht="15.75" x14ac:dyDescent="0.25">
      <c r="A34" s="712"/>
      <c r="B34" s="712"/>
      <c r="C34" s="376"/>
      <c r="D34" s="489"/>
      <c r="E34" s="376"/>
      <c r="F34" s="376"/>
      <c r="G34" s="281"/>
      <c r="H34" s="281"/>
      <c r="I34" s="358"/>
      <c r="J34" s="281"/>
      <c r="K34" s="358"/>
      <c r="L34" s="281"/>
      <c r="M34" s="358"/>
      <c r="N34" s="281"/>
      <c r="O34" s="358"/>
      <c r="P34" s="398">
        <f t="shared" si="0"/>
        <v>0</v>
      </c>
      <c r="Q34" s="399">
        <f t="shared" si="1"/>
        <v>0</v>
      </c>
      <c r="R34" s="281"/>
      <c r="S34" s="281"/>
      <c r="T34" s="281"/>
      <c r="U34" s="361"/>
    </row>
    <row r="35" spans="1:21" ht="15.75" x14ac:dyDescent="0.25">
      <c r="A35" s="712"/>
      <c r="B35" s="712"/>
      <c r="C35" s="280"/>
      <c r="D35" s="489"/>
      <c r="E35" s="280"/>
      <c r="F35" s="280"/>
      <c r="G35" s="281"/>
      <c r="H35" s="281"/>
      <c r="I35" s="358"/>
      <c r="J35" s="281"/>
      <c r="K35" s="358"/>
      <c r="L35" s="281"/>
      <c r="M35" s="358"/>
      <c r="N35" s="281"/>
      <c r="O35" s="358"/>
      <c r="P35" s="398">
        <f t="shared" si="0"/>
        <v>0</v>
      </c>
      <c r="Q35" s="399">
        <f t="shared" si="1"/>
        <v>0</v>
      </c>
      <c r="R35" s="281"/>
      <c r="S35" s="281"/>
      <c r="T35" s="281"/>
      <c r="U35" s="281"/>
    </row>
    <row r="36" spans="1:21" ht="15.75" x14ac:dyDescent="0.25">
      <c r="A36" s="291"/>
      <c r="B36" s="292"/>
      <c r="C36" s="291" t="s">
        <v>1505</v>
      </c>
      <c r="D36" s="292"/>
      <c r="E36" s="292"/>
      <c r="F36" s="292"/>
      <c r="G36" s="293"/>
      <c r="H36" s="282">
        <f t="shared" ref="H36:Q36" si="2">SUM(H10:H35)</f>
        <v>0</v>
      </c>
      <c r="I36" s="283">
        <f t="shared" si="2"/>
        <v>0</v>
      </c>
      <c r="J36" s="282">
        <f t="shared" si="2"/>
        <v>0</v>
      </c>
      <c r="K36" s="283">
        <f t="shared" si="2"/>
        <v>0</v>
      </c>
      <c r="L36" s="282">
        <f t="shared" si="2"/>
        <v>0</v>
      </c>
      <c r="M36" s="283">
        <f t="shared" si="2"/>
        <v>0</v>
      </c>
      <c r="N36" s="282">
        <f t="shared" si="2"/>
        <v>0</v>
      </c>
      <c r="O36" s="283">
        <f t="shared" si="2"/>
        <v>0</v>
      </c>
      <c r="P36" s="283">
        <f t="shared" si="2"/>
        <v>0</v>
      </c>
      <c r="Q36" s="283">
        <f t="shared" si="2"/>
        <v>0</v>
      </c>
      <c r="R36" s="263"/>
      <c r="S36" s="263"/>
      <c r="T36" s="263"/>
      <c r="U36" s="263"/>
    </row>
    <row r="39" spans="1:21" x14ac:dyDescent="0.25">
      <c r="C39" s="462"/>
    </row>
    <row r="40" spans="1:21" x14ac:dyDescent="0.25">
      <c r="C40" s="462"/>
    </row>
    <row r="41" spans="1:21" x14ac:dyDescent="0.25">
      <c r="C41" s="462"/>
    </row>
    <row r="42" spans="1:21" x14ac:dyDescent="0.25">
      <c r="C42" s="462"/>
      <c r="I42"/>
      <c r="K42"/>
      <c r="M42"/>
      <c r="O42"/>
      <c r="Q42"/>
    </row>
    <row r="43" spans="1:21" x14ac:dyDescent="0.25">
      <c r="C43" s="462"/>
      <c r="I43"/>
      <c r="K43"/>
      <c r="M43"/>
      <c r="O43"/>
      <c r="Q43"/>
    </row>
    <row r="44" spans="1:21" x14ac:dyDescent="0.25">
      <c r="C44" s="462"/>
      <c r="I44"/>
      <c r="K44"/>
      <c r="M44"/>
      <c r="O44"/>
      <c r="Q44"/>
    </row>
    <row r="45" spans="1:21" x14ac:dyDescent="0.25">
      <c r="C45" s="462"/>
      <c r="I45"/>
      <c r="K45"/>
      <c r="M45"/>
      <c r="O45"/>
      <c r="Q45"/>
    </row>
    <row r="46" spans="1:21" x14ac:dyDescent="0.25">
      <c r="C46" s="462"/>
      <c r="I46"/>
      <c r="K46"/>
      <c r="M46"/>
      <c r="O46"/>
      <c r="Q46"/>
    </row>
    <row r="47" spans="1:21" x14ac:dyDescent="0.25">
      <c r="I47"/>
      <c r="K47"/>
      <c r="M47"/>
      <c r="O47"/>
      <c r="Q47"/>
    </row>
    <row r="48" spans="1:21"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sheetData>
  <mergeCells count="24">
    <mergeCell ref="A25:A35"/>
    <mergeCell ref="B25:B35"/>
    <mergeCell ref="B10:B15"/>
    <mergeCell ref="F6:F8"/>
    <mergeCell ref="A6:A8"/>
    <mergeCell ref="A10:A15"/>
    <mergeCell ref="A16:A24"/>
    <mergeCell ref="B16:B24"/>
    <mergeCell ref="D6:D8"/>
    <mergeCell ref="A3:U3"/>
    <mergeCell ref="U6:U8"/>
    <mergeCell ref="H7:I7"/>
    <mergeCell ref="J7:K7"/>
    <mergeCell ref="L7:M7"/>
    <mergeCell ref="R6:R8"/>
    <mergeCell ref="N7:O7"/>
    <mergeCell ref="H6:O6"/>
    <mergeCell ref="P6:Q7"/>
    <mergeCell ref="S6:S8"/>
    <mergeCell ref="T6:T8"/>
    <mergeCell ref="B6:B8"/>
    <mergeCell ref="C6:C8"/>
    <mergeCell ref="E6:E8"/>
    <mergeCell ref="G6:G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35">
      <formula1>$P$1:$W$1</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0"/>
  <sheetViews>
    <sheetView zoomScale="90" zoomScaleNormal="90" workbookViewId="0">
      <pane ySplit="6" topLeftCell="A7" activePane="bottomLeft" state="frozen"/>
      <selection activeCell="A7" sqref="A7"/>
      <selection pane="bottomLeft" activeCell="C50" sqref="C50:C70"/>
    </sheetView>
  </sheetViews>
  <sheetFormatPr baseColWidth="10" defaultRowHeight="15" x14ac:dyDescent="0.25"/>
  <cols>
    <col min="1" max="1" width="21.7109375" style="365" customWidth="1"/>
    <col min="2" max="2" width="24.28515625" style="365" customWidth="1"/>
    <col min="3" max="3" width="27.42578125" style="365" customWidth="1"/>
    <col min="4" max="4" width="27.42578125" style="462" customWidth="1"/>
    <col min="5" max="7" width="27.42578125" style="365" customWidth="1"/>
    <col min="8" max="8" width="15.28515625" style="365" customWidth="1"/>
    <col min="9" max="9" width="13.7109375" style="233" bestFit="1" customWidth="1"/>
    <col min="10" max="10" width="15.28515625" style="365" customWidth="1"/>
    <col min="11" max="11" width="18.85546875" style="233" customWidth="1"/>
    <col min="12" max="12" width="11.42578125" style="365"/>
    <col min="13" max="13" width="13.7109375" style="233" bestFit="1" customWidth="1"/>
    <col min="14" max="14" width="11.42578125" style="365"/>
    <col min="15" max="15" width="13.7109375" style="233" bestFit="1" customWidth="1"/>
    <col min="16" max="16" width="15.28515625" style="365" customWidth="1"/>
    <col min="17" max="17" width="18.28515625" style="233" customWidth="1"/>
    <col min="18" max="20" width="14.140625" style="365" customWidth="1"/>
    <col min="21" max="21" width="17" style="365" customWidth="1"/>
    <col min="22" max="16384" width="11.42578125" style="365"/>
  </cols>
  <sheetData>
    <row r="1" spans="1:32" ht="18.75" x14ac:dyDescent="0.25">
      <c r="B1" s="284"/>
      <c r="C1" s="284"/>
      <c r="D1" s="284"/>
      <c r="E1" s="284"/>
      <c r="F1" s="284"/>
      <c r="G1" s="284"/>
      <c r="H1" s="284" t="s">
        <v>1441</v>
      </c>
      <c r="K1" s="284"/>
      <c r="L1" s="284"/>
      <c r="M1" s="502" t="s">
        <v>1596</v>
      </c>
      <c r="N1" s="502" t="s">
        <v>1597</v>
      </c>
      <c r="O1" s="502" t="s">
        <v>1598</v>
      </c>
      <c r="P1" s="502" t="s">
        <v>1599</v>
      </c>
      <c r="Q1" s="502" t="s">
        <v>1600</v>
      </c>
      <c r="R1" s="502" t="s">
        <v>1601</v>
      </c>
      <c r="S1" s="502" t="s">
        <v>1602</v>
      </c>
      <c r="T1" s="502" t="s">
        <v>1603</v>
      </c>
      <c r="U1" s="502" t="s">
        <v>1604</v>
      </c>
      <c r="V1" s="504" t="s">
        <v>1605</v>
      </c>
      <c r="W1" s="502" t="s">
        <v>1606</v>
      </c>
      <c r="X1" s="502" t="s">
        <v>1607</v>
      </c>
      <c r="Y1" s="502" t="s">
        <v>1608</v>
      </c>
      <c r="Z1" s="502" t="s">
        <v>1609</v>
      </c>
      <c r="AA1" s="502" t="s">
        <v>1610</v>
      </c>
      <c r="AB1" s="502" t="s">
        <v>1611</v>
      </c>
      <c r="AC1" s="502" t="s">
        <v>1612</v>
      </c>
      <c r="AD1" s="502" t="s">
        <v>1613</v>
      </c>
      <c r="AE1" s="502" t="s">
        <v>1614</v>
      </c>
      <c r="AF1" s="502" t="s">
        <v>1615</v>
      </c>
    </row>
    <row r="2" spans="1:32" ht="18.75" x14ac:dyDescent="0.25">
      <c r="A2" s="269" t="s">
        <v>1345</v>
      </c>
      <c r="B2" s="284"/>
      <c r="C2" s="284"/>
      <c r="D2" s="284"/>
      <c r="E2" s="284"/>
      <c r="F2" s="284"/>
      <c r="G2" s="284"/>
      <c r="H2" s="284"/>
      <c r="K2" s="284"/>
      <c r="L2" s="284"/>
      <c r="M2" s="284"/>
      <c r="N2" s="284"/>
      <c r="O2" s="284"/>
      <c r="P2" s="284"/>
      <c r="Q2" s="284"/>
      <c r="R2" s="284"/>
      <c r="S2" s="284"/>
      <c r="T2" s="284"/>
      <c r="U2" s="284"/>
    </row>
    <row r="3" spans="1:32" x14ac:dyDescent="0.25">
      <c r="A3" s="708" t="s">
        <v>1440</v>
      </c>
      <c r="B3" s="708"/>
      <c r="C3" s="708"/>
      <c r="D3" s="708"/>
      <c r="E3" s="708"/>
      <c r="F3" s="708"/>
      <c r="G3" s="708"/>
      <c r="H3" s="708"/>
      <c r="I3" s="708"/>
      <c r="J3" s="708"/>
      <c r="K3" s="708"/>
      <c r="L3" s="708"/>
      <c r="M3" s="708"/>
      <c r="N3" s="708"/>
      <c r="O3" s="708"/>
      <c r="P3" s="708"/>
      <c r="Q3" s="708"/>
      <c r="R3" s="708"/>
      <c r="S3" s="708"/>
      <c r="T3" s="708"/>
      <c r="U3" s="708"/>
    </row>
    <row r="4" spans="1:32" ht="15" customHeight="1" x14ac:dyDescent="0.25">
      <c r="A4" s="666" t="s">
        <v>96</v>
      </c>
      <c r="B4" s="665" t="s">
        <v>110</v>
      </c>
      <c r="C4" s="668" t="s">
        <v>1514</v>
      </c>
      <c r="D4" s="668" t="s">
        <v>1515</v>
      </c>
      <c r="E4" s="668" t="s">
        <v>86</v>
      </c>
      <c r="F4" s="668" t="s">
        <v>390</v>
      </c>
      <c r="G4" s="668" t="s">
        <v>87</v>
      </c>
      <c r="H4" s="671" t="s">
        <v>99</v>
      </c>
      <c r="I4" s="677"/>
      <c r="J4" s="677"/>
      <c r="K4" s="677"/>
      <c r="L4" s="677"/>
      <c r="M4" s="677"/>
      <c r="N4" s="677"/>
      <c r="O4" s="672"/>
      <c r="P4" s="673" t="s">
        <v>100</v>
      </c>
      <c r="Q4" s="674"/>
      <c r="R4" s="665" t="s">
        <v>102</v>
      </c>
      <c r="S4" s="665" t="s">
        <v>109</v>
      </c>
      <c r="T4" s="665" t="s">
        <v>108</v>
      </c>
      <c r="U4" s="662" t="s">
        <v>88</v>
      </c>
    </row>
    <row r="5" spans="1:32" ht="15" customHeight="1" x14ac:dyDescent="0.25">
      <c r="A5" s="666"/>
      <c r="B5" s="666"/>
      <c r="C5" s="669"/>
      <c r="D5" s="669"/>
      <c r="E5" s="669"/>
      <c r="F5" s="669"/>
      <c r="G5" s="669"/>
      <c r="H5" s="671" t="s">
        <v>103</v>
      </c>
      <c r="I5" s="672"/>
      <c r="J5" s="671" t="s">
        <v>104</v>
      </c>
      <c r="K5" s="672"/>
      <c r="L5" s="671" t="s">
        <v>105</v>
      </c>
      <c r="M5" s="672"/>
      <c r="N5" s="671" t="s">
        <v>106</v>
      </c>
      <c r="O5" s="672"/>
      <c r="P5" s="675"/>
      <c r="Q5" s="676"/>
      <c r="R5" s="666"/>
      <c r="S5" s="666"/>
      <c r="T5" s="666"/>
      <c r="U5" s="663"/>
    </row>
    <row r="6" spans="1:32" ht="25.5" x14ac:dyDescent="0.25">
      <c r="A6" s="667"/>
      <c r="B6" s="667"/>
      <c r="C6" s="670"/>
      <c r="D6" s="670"/>
      <c r="E6" s="670"/>
      <c r="F6" s="670"/>
      <c r="G6" s="670"/>
      <c r="H6" s="438" t="s">
        <v>107</v>
      </c>
      <c r="I6" s="438" t="s">
        <v>12</v>
      </c>
      <c r="J6" s="438" t="s">
        <v>107</v>
      </c>
      <c r="K6" s="438" t="s">
        <v>12</v>
      </c>
      <c r="L6" s="438" t="s">
        <v>107</v>
      </c>
      <c r="M6" s="438" t="s">
        <v>12</v>
      </c>
      <c r="N6" s="438" t="s">
        <v>107</v>
      </c>
      <c r="O6" s="438" t="s">
        <v>12</v>
      </c>
      <c r="P6" s="438" t="s">
        <v>107</v>
      </c>
      <c r="Q6" s="438" t="s">
        <v>12</v>
      </c>
      <c r="R6" s="667"/>
      <c r="S6" s="667"/>
      <c r="T6" s="667"/>
      <c r="U6" s="664"/>
    </row>
    <row r="7" spans="1:32" ht="15.75" x14ac:dyDescent="0.25">
      <c r="A7" s="439"/>
      <c r="B7" s="440"/>
      <c r="C7" s="441"/>
      <c r="D7" s="441"/>
      <c r="E7" s="441"/>
      <c r="F7" s="442"/>
      <c r="G7" s="441"/>
      <c r="H7" s="443"/>
      <c r="I7" s="443"/>
      <c r="J7" s="443"/>
      <c r="K7" s="443"/>
      <c r="L7" s="443"/>
      <c r="M7" s="443"/>
      <c r="N7" s="443"/>
      <c r="O7" s="443"/>
      <c r="P7" s="443"/>
      <c r="Q7" s="443"/>
      <c r="R7" s="444"/>
      <c r="S7" s="444"/>
      <c r="T7" s="444"/>
      <c r="U7" s="445"/>
    </row>
    <row r="8" spans="1:32" ht="15.75" x14ac:dyDescent="0.25">
      <c r="A8" s="709" t="s">
        <v>1434</v>
      </c>
      <c r="B8" s="712" t="s">
        <v>1432</v>
      </c>
      <c r="C8" s="280"/>
      <c r="D8" s="489"/>
      <c r="E8" s="280"/>
      <c r="F8" s="280"/>
      <c r="G8" s="281"/>
      <c r="H8" s="281"/>
      <c r="I8" s="358"/>
      <c r="J8" s="281"/>
      <c r="K8" s="358"/>
      <c r="L8" s="281"/>
      <c r="M8" s="358"/>
      <c r="N8" s="281"/>
      <c r="O8" s="358"/>
      <c r="P8" s="400">
        <f t="shared" ref="P8:P22" si="0">H8+J8+L8+N8</f>
        <v>0</v>
      </c>
      <c r="Q8" s="399">
        <f t="shared" ref="Q8:Q22" si="1">I8+K8+M8+O8</f>
        <v>0</v>
      </c>
      <c r="R8" s="281"/>
      <c r="S8" s="281"/>
      <c r="T8" s="281"/>
      <c r="U8" s="281"/>
    </row>
    <row r="9" spans="1:32" ht="15.75" x14ac:dyDescent="0.25">
      <c r="A9" s="710"/>
      <c r="B9" s="712"/>
      <c r="C9" s="280"/>
      <c r="D9" s="489"/>
      <c r="E9" s="280"/>
      <c r="F9" s="280"/>
      <c r="G9" s="281"/>
      <c r="H9" s="281"/>
      <c r="I9" s="358"/>
      <c r="J9" s="281"/>
      <c r="K9" s="358"/>
      <c r="L9" s="281"/>
      <c r="M9" s="358"/>
      <c r="N9" s="281"/>
      <c r="O9" s="358"/>
      <c r="P9" s="400">
        <f t="shared" si="0"/>
        <v>0</v>
      </c>
      <c r="Q9" s="399">
        <f t="shared" si="1"/>
        <v>0</v>
      </c>
      <c r="R9" s="281"/>
      <c r="S9" s="281"/>
      <c r="T9" s="281"/>
      <c r="U9" s="281"/>
    </row>
    <row r="10" spans="1:32" ht="15.75" x14ac:dyDescent="0.25">
      <c r="A10" s="710"/>
      <c r="B10" s="712"/>
      <c r="C10" s="280"/>
      <c r="D10" s="489"/>
      <c r="E10" s="280"/>
      <c r="F10" s="280"/>
      <c r="G10" s="281"/>
      <c r="H10" s="281"/>
      <c r="I10" s="358"/>
      <c r="J10" s="281"/>
      <c r="K10" s="358"/>
      <c r="L10" s="281"/>
      <c r="M10" s="358"/>
      <c r="N10" s="281"/>
      <c r="O10" s="358"/>
      <c r="P10" s="400">
        <f t="shared" si="0"/>
        <v>0</v>
      </c>
      <c r="Q10" s="399">
        <f t="shared" si="1"/>
        <v>0</v>
      </c>
      <c r="R10" s="281"/>
      <c r="S10" s="281"/>
      <c r="T10" s="281"/>
      <c r="U10" s="281"/>
    </row>
    <row r="11" spans="1:32" ht="15.75" x14ac:dyDescent="0.25">
      <c r="A11" s="710"/>
      <c r="B11" s="712"/>
      <c r="C11" s="280"/>
      <c r="D11" s="489"/>
      <c r="E11" s="280"/>
      <c r="F11" s="280"/>
      <c r="G11" s="281"/>
      <c r="H11" s="281"/>
      <c r="I11" s="358"/>
      <c r="J11" s="281"/>
      <c r="K11" s="358"/>
      <c r="L11" s="281"/>
      <c r="M11" s="358"/>
      <c r="N11" s="281"/>
      <c r="O11" s="358"/>
      <c r="P11" s="400">
        <f t="shared" si="0"/>
        <v>0</v>
      </c>
      <c r="Q11" s="399">
        <f t="shared" si="1"/>
        <v>0</v>
      </c>
      <c r="R11" s="281"/>
      <c r="S11" s="281"/>
      <c r="T11" s="281"/>
      <c r="U11" s="281"/>
    </row>
    <row r="12" spans="1:32" ht="15.75" x14ac:dyDescent="0.25">
      <c r="A12" s="710"/>
      <c r="B12" s="712"/>
      <c r="C12" s="280"/>
      <c r="D12" s="489"/>
      <c r="E12" s="280"/>
      <c r="F12" s="280"/>
      <c r="G12" s="281"/>
      <c r="H12" s="281"/>
      <c r="I12" s="358"/>
      <c r="J12" s="281"/>
      <c r="K12" s="358"/>
      <c r="L12" s="281"/>
      <c r="M12" s="358"/>
      <c r="N12" s="281"/>
      <c r="O12" s="358"/>
      <c r="P12" s="400">
        <f t="shared" si="0"/>
        <v>0</v>
      </c>
      <c r="Q12" s="399">
        <f t="shared" si="1"/>
        <v>0</v>
      </c>
      <c r="R12" s="281"/>
      <c r="S12" s="281"/>
      <c r="T12" s="281"/>
      <c r="U12" s="281"/>
    </row>
    <row r="13" spans="1:32" ht="15.75" x14ac:dyDescent="0.25">
      <c r="A13" s="710"/>
      <c r="B13" s="712" t="s">
        <v>1439</v>
      </c>
      <c r="C13" s="280"/>
      <c r="D13" s="489"/>
      <c r="E13" s="280"/>
      <c r="F13" s="280"/>
      <c r="G13" s="281"/>
      <c r="H13" s="281"/>
      <c r="I13" s="358"/>
      <c r="J13" s="281"/>
      <c r="K13" s="358"/>
      <c r="L13" s="281"/>
      <c r="M13" s="358"/>
      <c r="N13" s="281"/>
      <c r="O13" s="358"/>
      <c r="P13" s="400">
        <f t="shared" si="0"/>
        <v>0</v>
      </c>
      <c r="Q13" s="399">
        <f t="shared" si="1"/>
        <v>0</v>
      </c>
      <c r="R13" s="281"/>
      <c r="S13" s="281"/>
      <c r="T13" s="281"/>
      <c r="U13" s="281"/>
    </row>
    <row r="14" spans="1:32" ht="15.75" x14ac:dyDescent="0.25">
      <c r="A14" s="710"/>
      <c r="B14" s="712"/>
      <c r="C14" s="280"/>
      <c r="D14" s="489"/>
      <c r="E14" s="280"/>
      <c r="F14" s="280"/>
      <c r="G14" s="281"/>
      <c r="H14" s="281"/>
      <c r="I14" s="358"/>
      <c r="J14" s="281"/>
      <c r="K14" s="358"/>
      <c r="L14" s="281"/>
      <c r="M14" s="358"/>
      <c r="N14" s="281"/>
      <c r="O14" s="358"/>
      <c r="P14" s="400">
        <f t="shared" si="0"/>
        <v>0</v>
      </c>
      <c r="Q14" s="399">
        <f t="shared" si="1"/>
        <v>0</v>
      </c>
      <c r="R14" s="281"/>
      <c r="S14" s="281"/>
      <c r="T14" s="281"/>
      <c r="U14" s="359"/>
    </row>
    <row r="15" spans="1:32" ht="15.75" x14ac:dyDescent="0.25">
      <c r="A15" s="710"/>
      <c r="B15" s="712"/>
      <c r="C15" s="280"/>
      <c r="D15" s="489"/>
      <c r="E15" s="280"/>
      <c r="F15" s="280"/>
      <c r="G15" s="281"/>
      <c r="H15" s="281"/>
      <c r="I15" s="358"/>
      <c r="J15" s="281"/>
      <c r="K15" s="358"/>
      <c r="L15" s="281"/>
      <c r="M15" s="358"/>
      <c r="N15" s="281"/>
      <c r="O15" s="358"/>
      <c r="P15" s="400">
        <f t="shared" si="0"/>
        <v>0</v>
      </c>
      <c r="Q15" s="399">
        <f t="shared" si="1"/>
        <v>0</v>
      </c>
      <c r="R15" s="281"/>
      <c r="S15" s="281"/>
      <c r="T15" s="281"/>
      <c r="U15" s="359"/>
    </row>
    <row r="16" spans="1:32" ht="15.75" x14ac:dyDescent="0.25">
      <c r="A16" s="710"/>
      <c r="B16" s="712"/>
      <c r="C16" s="280"/>
      <c r="D16" s="489"/>
      <c r="E16" s="280"/>
      <c r="F16" s="280"/>
      <c r="G16" s="281"/>
      <c r="H16" s="281"/>
      <c r="I16" s="358"/>
      <c r="J16" s="281"/>
      <c r="K16" s="358"/>
      <c r="L16" s="281"/>
      <c r="M16" s="358"/>
      <c r="N16" s="281"/>
      <c r="O16" s="358"/>
      <c r="P16" s="400">
        <f t="shared" si="0"/>
        <v>0</v>
      </c>
      <c r="Q16" s="399">
        <f t="shared" si="1"/>
        <v>0</v>
      </c>
      <c r="R16" s="281"/>
      <c r="S16" s="281"/>
      <c r="T16" s="281"/>
      <c r="U16" s="359"/>
    </row>
    <row r="17" spans="1:21" ht="15.75" x14ac:dyDescent="0.25">
      <c r="A17" s="710"/>
      <c r="B17" s="712"/>
      <c r="C17" s="280"/>
      <c r="D17" s="489"/>
      <c r="E17" s="280"/>
      <c r="F17" s="280"/>
      <c r="G17" s="281"/>
      <c r="H17" s="281"/>
      <c r="I17" s="358"/>
      <c r="J17" s="281"/>
      <c r="K17" s="358"/>
      <c r="L17" s="360"/>
      <c r="M17" s="358"/>
      <c r="N17" s="281"/>
      <c r="O17" s="358"/>
      <c r="P17" s="400">
        <f t="shared" si="0"/>
        <v>0</v>
      </c>
      <c r="Q17" s="399">
        <f t="shared" si="1"/>
        <v>0</v>
      </c>
      <c r="R17" s="281"/>
      <c r="S17" s="281"/>
      <c r="T17" s="281"/>
      <c r="U17" s="281"/>
    </row>
    <row r="18" spans="1:21" ht="15.75" x14ac:dyDescent="0.25">
      <c r="A18" s="710"/>
      <c r="B18" s="712" t="s">
        <v>1433</v>
      </c>
      <c r="C18" s="280"/>
      <c r="D18" s="489"/>
      <c r="E18" s="280"/>
      <c r="F18" s="280"/>
      <c r="G18" s="281"/>
      <c r="H18" s="281"/>
      <c r="I18" s="358"/>
      <c r="J18" s="281"/>
      <c r="K18" s="358"/>
      <c r="L18" s="360"/>
      <c r="M18" s="358"/>
      <c r="N18" s="281"/>
      <c r="O18" s="358"/>
      <c r="P18" s="400">
        <f t="shared" si="0"/>
        <v>0</v>
      </c>
      <c r="Q18" s="399">
        <f t="shared" si="1"/>
        <v>0</v>
      </c>
      <c r="R18" s="281"/>
      <c r="S18" s="281"/>
      <c r="T18" s="281"/>
      <c r="U18" s="281"/>
    </row>
    <row r="19" spans="1:21" ht="15.75" x14ac:dyDescent="0.25">
      <c r="A19" s="710"/>
      <c r="B19" s="712"/>
      <c r="C19" s="280"/>
      <c r="D19" s="489"/>
      <c r="E19" s="280"/>
      <c r="F19" s="280"/>
      <c r="G19" s="281"/>
      <c r="H19" s="281"/>
      <c r="I19" s="358"/>
      <c r="J19" s="281"/>
      <c r="K19" s="358"/>
      <c r="L19" s="360"/>
      <c r="M19" s="358"/>
      <c r="N19" s="281"/>
      <c r="O19" s="358"/>
      <c r="P19" s="400">
        <f t="shared" si="0"/>
        <v>0</v>
      </c>
      <c r="Q19" s="399">
        <f t="shared" si="1"/>
        <v>0</v>
      </c>
      <c r="R19" s="281"/>
      <c r="S19" s="281"/>
      <c r="T19" s="281"/>
      <c r="U19" s="281"/>
    </row>
    <row r="20" spans="1:21" ht="15.75" x14ac:dyDescent="0.25">
      <c r="A20" s="710"/>
      <c r="B20" s="712"/>
      <c r="C20" s="280"/>
      <c r="D20" s="489"/>
      <c r="E20" s="280"/>
      <c r="F20" s="280"/>
      <c r="G20" s="281"/>
      <c r="H20" s="281"/>
      <c r="I20" s="358"/>
      <c r="J20" s="281"/>
      <c r="K20" s="358"/>
      <c r="L20" s="360"/>
      <c r="M20" s="358"/>
      <c r="N20" s="281"/>
      <c r="O20" s="358"/>
      <c r="P20" s="400">
        <f t="shared" si="0"/>
        <v>0</v>
      </c>
      <c r="Q20" s="399">
        <f t="shared" si="1"/>
        <v>0</v>
      </c>
      <c r="R20" s="281"/>
      <c r="S20" s="281"/>
      <c r="T20" s="281"/>
      <c r="U20" s="281"/>
    </row>
    <row r="21" spans="1:21" ht="15.75" x14ac:dyDescent="0.25">
      <c r="A21" s="710"/>
      <c r="B21" s="712"/>
      <c r="C21" s="280"/>
      <c r="D21" s="489"/>
      <c r="E21" s="280"/>
      <c r="F21" s="280"/>
      <c r="G21" s="281"/>
      <c r="H21" s="281"/>
      <c r="I21" s="358"/>
      <c r="J21" s="281"/>
      <c r="K21" s="358"/>
      <c r="L21" s="360"/>
      <c r="M21" s="358"/>
      <c r="N21" s="281"/>
      <c r="O21" s="358"/>
      <c r="P21" s="400">
        <f t="shared" si="0"/>
        <v>0</v>
      </c>
      <c r="Q21" s="399">
        <f t="shared" si="1"/>
        <v>0</v>
      </c>
      <c r="R21" s="281"/>
      <c r="S21" s="281"/>
      <c r="T21" s="281"/>
      <c r="U21" s="281"/>
    </row>
    <row r="22" spans="1:21" ht="15.75" x14ac:dyDescent="0.25">
      <c r="A22" s="710"/>
      <c r="B22" s="712"/>
      <c r="C22" s="280"/>
      <c r="D22" s="489"/>
      <c r="E22" s="280"/>
      <c r="F22" s="370"/>
      <c r="G22" s="281"/>
      <c r="H22" s="281"/>
      <c r="I22" s="358"/>
      <c r="J22" s="281"/>
      <c r="K22" s="358"/>
      <c r="L22" s="360"/>
      <c r="M22" s="358"/>
      <c r="N22" s="281"/>
      <c r="O22" s="358"/>
      <c r="P22" s="400">
        <f t="shared" si="0"/>
        <v>0</v>
      </c>
      <c r="Q22" s="399">
        <f t="shared" si="1"/>
        <v>0</v>
      </c>
      <c r="R22" s="281"/>
      <c r="S22" s="281"/>
      <c r="T22" s="281"/>
      <c r="U22" s="281"/>
    </row>
    <row r="23" spans="1:21" ht="15.75" x14ac:dyDescent="0.25">
      <c r="A23" s="710"/>
      <c r="B23" s="709" t="s">
        <v>1435</v>
      </c>
      <c r="C23" s="280"/>
      <c r="D23" s="489"/>
      <c r="E23" s="280"/>
      <c r="F23" s="370"/>
      <c r="G23" s="281"/>
      <c r="H23" s="281"/>
      <c r="I23" s="358"/>
      <c r="J23" s="281"/>
      <c r="K23" s="358"/>
      <c r="L23" s="360"/>
      <c r="M23" s="358"/>
      <c r="N23" s="281"/>
      <c r="O23" s="358"/>
      <c r="P23" s="400">
        <f>H23+J23+L23+N23</f>
        <v>0</v>
      </c>
      <c r="Q23" s="399">
        <f>I23+K23+M23+O23</f>
        <v>0</v>
      </c>
      <c r="R23" s="281"/>
      <c r="S23" s="281"/>
      <c r="T23" s="281"/>
      <c r="U23" s="281"/>
    </row>
    <row r="24" spans="1:21" ht="15.75" x14ac:dyDescent="0.25">
      <c r="A24" s="710"/>
      <c r="B24" s="710"/>
      <c r="C24" s="280"/>
      <c r="D24" s="489"/>
      <c r="E24" s="280"/>
      <c r="F24" s="370"/>
      <c r="G24" s="281"/>
      <c r="H24" s="281"/>
      <c r="I24" s="358"/>
      <c r="J24" s="281"/>
      <c r="K24" s="358"/>
      <c r="L24" s="360"/>
      <c r="M24" s="358"/>
      <c r="N24" s="281"/>
      <c r="O24" s="358"/>
      <c r="P24" s="400">
        <f t="shared" ref="P24:P42" si="2">H24+J24+L24+N24</f>
        <v>0</v>
      </c>
      <c r="Q24" s="399">
        <f t="shared" ref="Q24:Q42" si="3">I24+K24+M24+O24</f>
        <v>0</v>
      </c>
      <c r="R24" s="281"/>
      <c r="S24" s="281"/>
      <c r="T24" s="281"/>
      <c r="U24" s="281"/>
    </row>
    <row r="25" spans="1:21" ht="15.75" x14ac:dyDescent="0.25">
      <c r="A25" s="710"/>
      <c r="B25" s="710"/>
      <c r="C25" s="280"/>
      <c r="D25" s="489"/>
      <c r="E25" s="280"/>
      <c r="F25" s="370"/>
      <c r="G25" s="281"/>
      <c r="H25" s="281"/>
      <c r="I25" s="358"/>
      <c r="J25" s="281"/>
      <c r="K25" s="358"/>
      <c r="L25" s="360"/>
      <c r="M25" s="358"/>
      <c r="N25" s="281"/>
      <c r="O25" s="358"/>
      <c r="P25" s="400">
        <f t="shared" si="2"/>
        <v>0</v>
      </c>
      <c r="Q25" s="399">
        <f t="shared" si="3"/>
        <v>0</v>
      </c>
      <c r="R25" s="281"/>
      <c r="S25" s="281"/>
      <c r="T25" s="281"/>
      <c r="U25" s="281"/>
    </row>
    <row r="26" spans="1:21" ht="15.75" x14ac:dyDescent="0.25">
      <c r="A26" s="710"/>
      <c r="B26" s="710"/>
      <c r="C26" s="280"/>
      <c r="D26" s="489"/>
      <c r="E26" s="280"/>
      <c r="F26" s="370"/>
      <c r="G26" s="281"/>
      <c r="H26" s="281"/>
      <c r="I26" s="358"/>
      <c r="J26" s="281"/>
      <c r="K26" s="358"/>
      <c r="L26" s="360"/>
      <c r="M26" s="358"/>
      <c r="N26" s="281"/>
      <c r="O26" s="358"/>
      <c r="P26" s="400">
        <f t="shared" si="2"/>
        <v>0</v>
      </c>
      <c r="Q26" s="399">
        <f t="shared" si="3"/>
        <v>0</v>
      </c>
      <c r="R26" s="281"/>
      <c r="S26" s="281"/>
      <c r="T26" s="281"/>
      <c r="U26" s="281"/>
    </row>
    <row r="27" spans="1:21" ht="15.75" x14ac:dyDescent="0.25">
      <c r="A27" s="710"/>
      <c r="B27" s="711"/>
      <c r="C27" s="280"/>
      <c r="D27" s="489"/>
      <c r="E27" s="280"/>
      <c r="F27" s="370"/>
      <c r="G27" s="281"/>
      <c r="H27" s="281"/>
      <c r="I27" s="358"/>
      <c r="J27" s="281"/>
      <c r="K27" s="358"/>
      <c r="L27" s="360"/>
      <c r="M27" s="358"/>
      <c r="N27" s="281"/>
      <c r="O27" s="358"/>
      <c r="P27" s="400">
        <f t="shared" si="2"/>
        <v>0</v>
      </c>
      <c r="Q27" s="399">
        <f t="shared" si="3"/>
        <v>0</v>
      </c>
      <c r="R27" s="281"/>
      <c r="S27" s="281"/>
      <c r="T27" s="281"/>
      <c r="U27" s="281"/>
    </row>
    <row r="28" spans="1:21" ht="15.75" x14ac:dyDescent="0.25">
      <c r="A28" s="710"/>
      <c r="B28" s="709" t="s">
        <v>1436</v>
      </c>
      <c r="C28" s="280"/>
      <c r="D28" s="489"/>
      <c r="E28" s="280"/>
      <c r="F28" s="370"/>
      <c r="G28" s="281"/>
      <c r="H28" s="281"/>
      <c r="I28" s="358"/>
      <c r="J28" s="281"/>
      <c r="K28" s="358"/>
      <c r="L28" s="360"/>
      <c r="M28" s="358"/>
      <c r="N28" s="281"/>
      <c r="O28" s="358"/>
      <c r="P28" s="400">
        <f t="shared" si="2"/>
        <v>0</v>
      </c>
      <c r="Q28" s="399">
        <f t="shared" si="3"/>
        <v>0</v>
      </c>
      <c r="R28" s="281"/>
      <c r="S28" s="281"/>
      <c r="T28" s="281"/>
      <c r="U28" s="281"/>
    </row>
    <row r="29" spans="1:21" ht="15.75" x14ac:dyDescent="0.25">
      <c r="A29" s="710"/>
      <c r="B29" s="710"/>
      <c r="C29" s="280"/>
      <c r="D29" s="489"/>
      <c r="E29" s="280"/>
      <c r="F29" s="370"/>
      <c r="G29" s="281"/>
      <c r="H29" s="281"/>
      <c r="I29" s="358"/>
      <c r="J29" s="281"/>
      <c r="K29" s="358"/>
      <c r="L29" s="360"/>
      <c r="M29" s="358"/>
      <c r="N29" s="281"/>
      <c r="O29" s="358"/>
      <c r="P29" s="400">
        <f t="shared" si="2"/>
        <v>0</v>
      </c>
      <c r="Q29" s="399">
        <f t="shared" si="3"/>
        <v>0</v>
      </c>
      <c r="R29" s="281"/>
      <c r="S29" s="281"/>
      <c r="T29" s="281"/>
      <c r="U29" s="281"/>
    </row>
    <row r="30" spans="1:21" ht="15.75" x14ac:dyDescent="0.25">
      <c r="A30" s="710"/>
      <c r="B30" s="710"/>
      <c r="C30" s="280"/>
      <c r="D30" s="489"/>
      <c r="E30" s="280"/>
      <c r="F30" s="280"/>
      <c r="G30" s="281"/>
      <c r="H30" s="281"/>
      <c r="I30" s="358"/>
      <c r="J30" s="281"/>
      <c r="K30" s="358"/>
      <c r="L30" s="360"/>
      <c r="M30" s="358"/>
      <c r="N30" s="281"/>
      <c r="O30" s="358"/>
      <c r="P30" s="400">
        <f t="shared" si="2"/>
        <v>0</v>
      </c>
      <c r="Q30" s="399">
        <f t="shared" si="3"/>
        <v>0</v>
      </c>
      <c r="R30" s="281"/>
      <c r="S30" s="281"/>
      <c r="T30" s="281"/>
      <c r="U30" s="281"/>
    </row>
    <row r="31" spans="1:21" ht="15.75" x14ac:dyDescent="0.25">
      <c r="A31" s="710"/>
      <c r="B31" s="710"/>
      <c r="C31" s="280"/>
      <c r="D31" s="489"/>
      <c r="E31" s="280"/>
      <c r="F31" s="280"/>
      <c r="G31" s="281"/>
      <c r="H31" s="281"/>
      <c r="I31" s="358"/>
      <c r="J31" s="281"/>
      <c r="K31" s="358"/>
      <c r="L31" s="360"/>
      <c r="M31" s="358"/>
      <c r="N31" s="281"/>
      <c r="O31" s="358"/>
      <c r="P31" s="400">
        <f t="shared" si="2"/>
        <v>0</v>
      </c>
      <c r="Q31" s="399">
        <f t="shared" si="3"/>
        <v>0</v>
      </c>
      <c r="R31" s="281"/>
      <c r="S31" s="281"/>
      <c r="T31" s="281"/>
      <c r="U31" s="281"/>
    </row>
    <row r="32" spans="1:21" ht="15.75" x14ac:dyDescent="0.25">
      <c r="A32" s="710"/>
      <c r="B32" s="711"/>
      <c r="C32" s="280"/>
      <c r="D32" s="489"/>
      <c r="E32" s="280"/>
      <c r="F32" s="280"/>
      <c r="G32" s="281"/>
      <c r="H32" s="281"/>
      <c r="I32" s="358"/>
      <c r="J32" s="281"/>
      <c r="K32" s="358"/>
      <c r="L32" s="360"/>
      <c r="M32" s="358"/>
      <c r="N32" s="281"/>
      <c r="O32" s="358"/>
      <c r="P32" s="400">
        <f t="shared" si="2"/>
        <v>0</v>
      </c>
      <c r="Q32" s="399">
        <f t="shared" si="3"/>
        <v>0</v>
      </c>
      <c r="R32" s="281"/>
      <c r="S32" s="281"/>
      <c r="T32" s="281"/>
      <c r="U32" s="281"/>
    </row>
    <row r="33" spans="1:21" ht="15.75" x14ac:dyDescent="0.25">
      <c r="A33" s="710"/>
      <c r="B33" s="712" t="s">
        <v>1437</v>
      </c>
      <c r="C33" s="369"/>
      <c r="D33" s="490"/>
      <c r="E33" s="280"/>
      <c r="F33" s="280"/>
      <c r="G33" s="281"/>
      <c r="H33" s="281"/>
      <c r="I33" s="358"/>
      <c r="J33" s="281"/>
      <c r="K33" s="358"/>
      <c r="L33" s="360"/>
      <c r="M33" s="358"/>
      <c r="N33" s="281"/>
      <c r="O33" s="358"/>
      <c r="P33" s="400">
        <f t="shared" si="2"/>
        <v>0</v>
      </c>
      <c r="Q33" s="399">
        <f t="shared" si="3"/>
        <v>0</v>
      </c>
      <c r="R33" s="281"/>
      <c r="S33" s="281"/>
      <c r="T33" s="281"/>
      <c r="U33" s="281"/>
    </row>
    <row r="34" spans="1:21" ht="15.75" x14ac:dyDescent="0.25">
      <c r="A34" s="710"/>
      <c r="B34" s="712"/>
      <c r="C34" s="369"/>
      <c r="D34" s="490"/>
      <c r="E34" s="280"/>
      <c r="F34" s="280"/>
      <c r="G34" s="281"/>
      <c r="H34" s="281"/>
      <c r="I34" s="358"/>
      <c r="J34" s="281"/>
      <c r="K34" s="358"/>
      <c r="L34" s="360"/>
      <c r="M34" s="358"/>
      <c r="N34" s="281"/>
      <c r="O34" s="358"/>
      <c r="P34" s="400">
        <f t="shared" si="2"/>
        <v>0</v>
      </c>
      <c r="Q34" s="399">
        <f t="shared" si="3"/>
        <v>0</v>
      </c>
      <c r="R34" s="281"/>
      <c r="S34" s="281"/>
      <c r="T34" s="281"/>
      <c r="U34" s="281"/>
    </row>
    <row r="35" spans="1:21" ht="15.75" x14ac:dyDescent="0.25">
      <c r="A35" s="710"/>
      <c r="B35" s="712"/>
      <c r="C35" s="369"/>
      <c r="D35" s="490"/>
      <c r="E35" s="280"/>
      <c r="F35" s="280"/>
      <c r="G35" s="281"/>
      <c r="H35" s="281"/>
      <c r="I35" s="358"/>
      <c r="J35" s="281"/>
      <c r="K35" s="358"/>
      <c r="L35" s="360"/>
      <c r="M35" s="358"/>
      <c r="N35" s="281"/>
      <c r="O35" s="358"/>
      <c r="P35" s="400">
        <f t="shared" si="2"/>
        <v>0</v>
      </c>
      <c r="Q35" s="399">
        <f t="shared" si="3"/>
        <v>0</v>
      </c>
      <c r="R35" s="281"/>
      <c r="S35" s="281"/>
      <c r="T35" s="281"/>
      <c r="U35" s="281"/>
    </row>
    <row r="36" spans="1:21" ht="15.75" x14ac:dyDescent="0.25">
      <c r="A36" s="710"/>
      <c r="B36" s="712"/>
      <c r="C36" s="369"/>
      <c r="D36" s="490"/>
      <c r="E36" s="280"/>
      <c r="F36" s="280"/>
      <c r="G36" s="281"/>
      <c r="H36" s="281"/>
      <c r="I36" s="358"/>
      <c r="J36" s="281"/>
      <c r="K36" s="358"/>
      <c r="L36" s="360"/>
      <c r="M36" s="358"/>
      <c r="N36" s="281"/>
      <c r="O36" s="358"/>
      <c r="P36" s="400">
        <f t="shared" si="2"/>
        <v>0</v>
      </c>
      <c r="Q36" s="399">
        <f t="shared" si="3"/>
        <v>0</v>
      </c>
      <c r="R36" s="281"/>
      <c r="S36" s="281"/>
      <c r="T36" s="281"/>
      <c r="U36" s="281"/>
    </row>
    <row r="37" spans="1:21" ht="15.75" x14ac:dyDescent="0.25">
      <c r="A37" s="710"/>
      <c r="B37" s="712"/>
      <c r="C37" s="369"/>
      <c r="D37" s="490"/>
      <c r="E37" s="280"/>
      <c r="F37" s="280"/>
      <c r="G37" s="281"/>
      <c r="H37" s="281"/>
      <c r="I37" s="358"/>
      <c r="J37" s="281"/>
      <c r="K37" s="358"/>
      <c r="L37" s="360"/>
      <c r="M37" s="358"/>
      <c r="N37" s="281"/>
      <c r="O37" s="358"/>
      <c r="P37" s="400">
        <f t="shared" si="2"/>
        <v>0</v>
      </c>
      <c r="Q37" s="399">
        <f t="shared" si="3"/>
        <v>0</v>
      </c>
      <c r="R37" s="281"/>
      <c r="S37" s="281"/>
      <c r="T37" s="281"/>
      <c r="U37" s="281"/>
    </row>
    <row r="38" spans="1:21" ht="15.75" x14ac:dyDescent="0.25">
      <c r="A38" s="710"/>
      <c r="B38" s="712" t="s">
        <v>1438</v>
      </c>
      <c r="C38" s="369"/>
      <c r="D38" s="490"/>
      <c r="E38" s="280"/>
      <c r="F38" s="280"/>
      <c r="G38" s="281"/>
      <c r="H38" s="281"/>
      <c r="I38" s="358"/>
      <c r="J38" s="281"/>
      <c r="K38" s="358"/>
      <c r="L38" s="360"/>
      <c r="M38" s="358"/>
      <c r="N38" s="281"/>
      <c r="O38" s="358"/>
      <c r="P38" s="400">
        <f t="shared" si="2"/>
        <v>0</v>
      </c>
      <c r="Q38" s="399">
        <f t="shared" si="3"/>
        <v>0</v>
      </c>
      <c r="R38" s="281"/>
      <c r="S38" s="281"/>
      <c r="T38" s="281"/>
      <c r="U38" s="281"/>
    </row>
    <row r="39" spans="1:21" ht="15.75" x14ac:dyDescent="0.25">
      <c r="A39" s="710"/>
      <c r="B39" s="712"/>
      <c r="C39" s="369"/>
      <c r="D39" s="490"/>
      <c r="E39" s="280"/>
      <c r="F39" s="280"/>
      <c r="G39" s="281"/>
      <c r="H39" s="281"/>
      <c r="I39" s="358"/>
      <c r="J39" s="281"/>
      <c r="K39" s="358"/>
      <c r="L39" s="360"/>
      <c r="M39" s="358"/>
      <c r="N39" s="281"/>
      <c r="O39" s="358"/>
      <c r="P39" s="400">
        <f t="shared" si="2"/>
        <v>0</v>
      </c>
      <c r="Q39" s="399">
        <f t="shared" si="3"/>
        <v>0</v>
      </c>
      <c r="R39" s="281"/>
      <c r="S39" s="281"/>
      <c r="T39" s="281"/>
      <c r="U39" s="281"/>
    </row>
    <row r="40" spans="1:21" ht="15.75" x14ac:dyDescent="0.25">
      <c r="A40" s="710"/>
      <c r="B40" s="712"/>
      <c r="C40" s="369"/>
      <c r="D40" s="490"/>
      <c r="E40" s="280"/>
      <c r="F40" s="280"/>
      <c r="G40" s="281"/>
      <c r="H40" s="281"/>
      <c r="I40" s="358"/>
      <c r="J40" s="281"/>
      <c r="K40" s="358"/>
      <c r="L40" s="360"/>
      <c r="M40" s="358"/>
      <c r="N40" s="281"/>
      <c r="O40" s="358"/>
      <c r="P40" s="400">
        <f t="shared" si="2"/>
        <v>0</v>
      </c>
      <c r="Q40" s="399">
        <f t="shared" si="3"/>
        <v>0</v>
      </c>
      <c r="R40" s="281"/>
      <c r="S40" s="281"/>
      <c r="T40" s="281"/>
      <c r="U40" s="281"/>
    </row>
    <row r="41" spans="1:21" ht="15.75" x14ac:dyDescent="0.25">
      <c r="A41" s="710"/>
      <c r="B41" s="712"/>
      <c r="C41" s="369"/>
      <c r="D41" s="490"/>
      <c r="E41" s="280"/>
      <c r="F41" s="280"/>
      <c r="G41" s="281"/>
      <c r="H41" s="281"/>
      <c r="I41" s="358"/>
      <c r="J41" s="281"/>
      <c r="K41" s="358"/>
      <c r="L41" s="360"/>
      <c r="M41" s="358"/>
      <c r="N41" s="281"/>
      <c r="O41" s="358"/>
      <c r="P41" s="400">
        <f t="shared" si="2"/>
        <v>0</v>
      </c>
      <c r="Q41" s="399">
        <f t="shared" si="3"/>
        <v>0</v>
      </c>
      <c r="R41" s="281"/>
      <c r="S41" s="281"/>
      <c r="T41" s="281"/>
      <c r="U41" s="281"/>
    </row>
    <row r="42" spans="1:21" ht="15.75" x14ac:dyDescent="0.25">
      <c r="A42" s="710"/>
      <c r="B42" s="712"/>
      <c r="C42" s="369"/>
      <c r="D42" s="490"/>
      <c r="E42" s="280"/>
      <c r="F42" s="280"/>
      <c r="G42" s="281"/>
      <c r="H42" s="281"/>
      <c r="I42" s="358"/>
      <c r="J42" s="281"/>
      <c r="K42" s="358"/>
      <c r="L42" s="360"/>
      <c r="M42" s="358"/>
      <c r="N42" s="281"/>
      <c r="O42" s="358"/>
      <c r="P42" s="400">
        <f t="shared" si="2"/>
        <v>0</v>
      </c>
      <c r="Q42" s="399">
        <f t="shared" si="3"/>
        <v>0</v>
      </c>
      <c r="R42" s="281"/>
      <c r="S42" s="281"/>
      <c r="T42" s="281"/>
      <c r="U42" s="281"/>
    </row>
    <row r="43" spans="1:21" ht="15.75" x14ac:dyDescent="0.25">
      <c r="A43" s="291"/>
      <c r="B43" s="292"/>
      <c r="C43" s="291" t="s">
        <v>1442</v>
      </c>
      <c r="D43" s="292"/>
      <c r="E43" s="292"/>
      <c r="F43" s="292"/>
      <c r="G43" s="293"/>
      <c r="H43" s="282">
        <f t="shared" ref="H43:Q43" si="4">SUM(H8:H42)</f>
        <v>0</v>
      </c>
      <c r="I43" s="283">
        <f t="shared" si="4"/>
        <v>0</v>
      </c>
      <c r="J43" s="282">
        <f t="shared" si="4"/>
        <v>0</v>
      </c>
      <c r="K43" s="283">
        <f t="shared" si="4"/>
        <v>0</v>
      </c>
      <c r="L43" s="282">
        <f t="shared" si="4"/>
        <v>0</v>
      </c>
      <c r="M43" s="283">
        <f t="shared" si="4"/>
        <v>0</v>
      </c>
      <c r="N43" s="282">
        <f t="shared" si="4"/>
        <v>0</v>
      </c>
      <c r="O43" s="283">
        <f t="shared" si="4"/>
        <v>0</v>
      </c>
      <c r="P43" s="283">
        <f t="shared" si="4"/>
        <v>0</v>
      </c>
      <c r="Q43" s="283">
        <f t="shared" si="4"/>
        <v>0</v>
      </c>
      <c r="R43" s="263"/>
      <c r="S43" s="263"/>
      <c r="T43" s="263"/>
      <c r="U43" s="263"/>
    </row>
    <row r="49" spans="3:17" x14ac:dyDescent="0.25">
      <c r="I49" s="365"/>
      <c r="K49" s="365"/>
      <c r="M49" s="365"/>
      <c r="O49" s="365"/>
      <c r="Q49" s="365"/>
    </row>
    <row r="50" spans="3:17" x14ac:dyDescent="0.25">
      <c r="I50" s="365"/>
      <c r="K50" s="365"/>
      <c r="M50" s="365"/>
      <c r="O50" s="365"/>
      <c r="Q50" s="365"/>
    </row>
    <row r="51" spans="3:17" x14ac:dyDescent="0.25">
      <c r="C51" s="462"/>
      <c r="I51" s="365"/>
      <c r="K51" s="365"/>
      <c r="M51" s="365"/>
      <c r="O51" s="365"/>
      <c r="Q51" s="365"/>
    </row>
    <row r="52" spans="3:17" x14ac:dyDescent="0.25">
      <c r="C52" s="462"/>
      <c r="I52" s="365"/>
      <c r="K52" s="365"/>
      <c r="M52" s="365"/>
      <c r="O52" s="365"/>
      <c r="Q52" s="365"/>
    </row>
    <row r="53" spans="3:17" x14ac:dyDescent="0.25">
      <c r="C53" s="462"/>
      <c r="I53" s="365"/>
      <c r="K53" s="365"/>
      <c r="M53" s="365"/>
      <c r="O53" s="365"/>
      <c r="Q53" s="365"/>
    </row>
    <row r="54" spans="3:17" x14ac:dyDescent="0.25">
      <c r="C54" s="462"/>
      <c r="I54" s="365"/>
      <c r="K54" s="365"/>
      <c r="M54" s="365"/>
      <c r="O54" s="365"/>
      <c r="Q54" s="365"/>
    </row>
    <row r="55" spans="3:17" x14ac:dyDescent="0.25">
      <c r="C55" s="462"/>
      <c r="I55" s="365"/>
      <c r="K55" s="365"/>
      <c r="M55" s="365"/>
      <c r="O55" s="365"/>
      <c r="Q55" s="365"/>
    </row>
    <row r="56" spans="3:17" x14ac:dyDescent="0.25">
      <c r="C56" s="462"/>
      <c r="I56" s="365"/>
      <c r="K56" s="365"/>
      <c r="M56" s="365"/>
      <c r="O56" s="365"/>
      <c r="Q56" s="365"/>
    </row>
    <row r="57" spans="3:17" x14ac:dyDescent="0.25">
      <c r="C57" s="462"/>
      <c r="I57" s="365"/>
      <c r="K57" s="365"/>
      <c r="M57" s="365"/>
      <c r="O57" s="365"/>
      <c r="Q57" s="365"/>
    </row>
    <row r="58" spans="3:17" x14ac:dyDescent="0.25">
      <c r="C58" s="462"/>
      <c r="I58" s="365"/>
      <c r="K58" s="365"/>
      <c r="M58" s="365"/>
      <c r="O58" s="365"/>
      <c r="Q58" s="365"/>
    </row>
    <row r="59" spans="3:17" x14ac:dyDescent="0.25">
      <c r="C59" s="462"/>
      <c r="I59" s="365"/>
      <c r="K59" s="365"/>
      <c r="M59" s="365"/>
      <c r="O59" s="365"/>
      <c r="Q59" s="365"/>
    </row>
    <row r="60" spans="3:17" x14ac:dyDescent="0.25">
      <c r="C60" s="503"/>
      <c r="D60" s="503"/>
    </row>
    <row r="61" spans="3:17" x14ac:dyDescent="0.25">
      <c r="C61" s="462"/>
    </row>
    <row r="62" spans="3:17" x14ac:dyDescent="0.25">
      <c r="C62" s="462"/>
    </row>
    <row r="63" spans="3:17" x14ac:dyDescent="0.25">
      <c r="C63" s="462"/>
    </row>
    <row r="64" spans="3:17" x14ac:dyDescent="0.25">
      <c r="C64" s="462"/>
    </row>
    <row r="65" spans="3:3" x14ac:dyDescent="0.25">
      <c r="C65" s="462"/>
    </row>
    <row r="66" spans="3:3" x14ac:dyDescent="0.25">
      <c r="C66" s="462"/>
    </row>
    <row r="67" spans="3:3" x14ac:dyDescent="0.25">
      <c r="C67" s="462"/>
    </row>
    <row r="68" spans="3:3" x14ac:dyDescent="0.25">
      <c r="C68" s="462"/>
    </row>
    <row r="69" spans="3:3" x14ac:dyDescent="0.25">
      <c r="C69" s="462"/>
    </row>
    <row r="70" spans="3:3" x14ac:dyDescent="0.25">
      <c r="C70" s="462"/>
    </row>
  </sheetData>
  <mergeCells count="26">
    <mergeCell ref="N5:O5"/>
    <mergeCell ref="A8:A42"/>
    <mergeCell ref="B8:B12"/>
    <mergeCell ref="B13:B17"/>
    <mergeCell ref="B18:B22"/>
    <mergeCell ref="B23:B27"/>
    <mergeCell ref="B28:B32"/>
    <mergeCell ref="B33:B37"/>
    <mergeCell ref="B38:B42"/>
    <mergeCell ref="D4:D6"/>
    <mergeCell ref="A3:U3"/>
    <mergeCell ref="A4:A6"/>
    <mergeCell ref="B4:B6"/>
    <mergeCell ref="C4:C6"/>
    <mergeCell ref="E4:E6"/>
    <mergeCell ref="F4:F6"/>
    <mergeCell ref="G4:G6"/>
    <mergeCell ref="H4:O4"/>
    <mergeCell ref="P4:Q5"/>
    <mergeCell ref="R4:R6"/>
    <mergeCell ref="S4:S6"/>
    <mergeCell ref="T4:T6"/>
    <mergeCell ref="U4:U6"/>
    <mergeCell ref="H5:I5"/>
    <mergeCell ref="J5:K5"/>
    <mergeCell ref="L5:M5"/>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type="list" allowBlank="1" showInputMessage="1" showErrorMessage="1" sqref="C8:C42">
      <formula1>$M$1:$AF$1</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zoomScale="90" zoomScaleNormal="90" workbookViewId="0">
      <pane ySplit="7" topLeftCell="A23" activePane="bottomLeft" state="frozen"/>
      <selection activeCell="Q6" sqref="Q6"/>
      <selection pane="bottomLeft" activeCell="C33" sqref="C33"/>
    </sheetView>
  </sheetViews>
  <sheetFormatPr baseColWidth="10" defaultColWidth="12.5703125" defaultRowHeight="15" x14ac:dyDescent="0.25"/>
  <cols>
    <col min="1" max="2" width="21.7109375" customWidth="1"/>
    <col min="3" max="3" width="27.42578125" customWidth="1"/>
    <col min="4" max="4" width="27.42578125" style="462" customWidth="1"/>
    <col min="5"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1" s="276" customFormat="1" ht="18.75" x14ac:dyDescent="0.3">
      <c r="H1" s="279" t="s">
        <v>1407</v>
      </c>
      <c r="M1" s="279"/>
      <c r="N1" s="279"/>
      <c r="O1" s="279"/>
      <c r="P1" s="502" t="s">
        <v>1616</v>
      </c>
      <c r="Q1" s="502" t="s">
        <v>1617</v>
      </c>
      <c r="R1" s="502" t="s">
        <v>1618</v>
      </c>
      <c r="S1" s="502" t="s">
        <v>1619</v>
      </c>
      <c r="T1" s="502" t="s">
        <v>1620</v>
      </c>
      <c r="U1" s="502" t="s">
        <v>1621</v>
      </c>
    </row>
    <row r="2" spans="1:21" s="276" customFormat="1" ht="18.75" x14ac:dyDescent="0.3">
      <c r="A2" s="320" t="s">
        <v>1350</v>
      </c>
      <c r="H2" s="279"/>
      <c r="M2" s="279"/>
      <c r="N2" s="279"/>
      <c r="O2" s="279"/>
      <c r="P2" s="279"/>
      <c r="Q2" s="279"/>
      <c r="R2" s="279"/>
      <c r="S2" s="279"/>
      <c r="T2" s="279"/>
      <c r="U2" s="279"/>
    </row>
    <row r="3" spans="1:21" s="276" customFormat="1" ht="27.75" customHeight="1" x14ac:dyDescent="0.2">
      <c r="A3" s="713" t="s">
        <v>1409</v>
      </c>
      <c r="B3" s="713"/>
      <c r="C3" s="713"/>
      <c r="D3" s="713"/>
      <c r="E3" s="713"/>
      <c r="F3" s="713"/>
      <c r="G3" s="713"/>
      <c r="H3" s="713"/>
      <c r="I3" s="713"/>
      <c r="J3" s="713"/>
      <c r="K3" s="713"/>
      <c r="L3" s="713"/>
      <c r="M3" s="713"/>
      <c r="N3" s="713"/>
      <c r="O3" s="713"/>
      <c r="P3" s="713"/>
      <c r="Q3" s="713"/>
      <c r="R3" s="713"/>
      <c r="S3" s="713"/>
      <c r="T3" s="713"/>
      <c r="U3" s="713"/>
    </row>
    <row r="4" spans="1:21" s="319" customFormat="1" x14ac:dyDescent="0.25">
      <c r="A4" s="714" t="s">
        <v>1415</v>
      </c>
      <c r="B4" s="714"/>
      <c r="C4" s="714"/>
      <c r="D4" s="714"/>
      <c r="E4" s="714"/>
      <c r="F4" s="714"/>
      <c r="G4" s="714"/>
      <c r="H4" s="714"/>
      <c r="I4" s="714"/>
      <c r="J4" s="714"/>
      <c r="K4" s="714"/>
      <c r="L4" s="714"/>
      <c r="M4" s="714"/>
      <c r="N4" s="714"/>
      <c r="O4" s="714"/>
      <c r="P4" s="714"/>
      <c r="Q4" s="714"/>
      <c r="R4" s="714"/>
      <c r="S4" s="714"/>
      <c r="T4" s="714"/>
      <c r="U4" s="714"/>
    </row>
    <row r="5" spans="1:21" s="66" customFormat="1" ht="23.25" customHeight="1" x14ac:dyDescent="0.25">
      <c r="A5" s="666" t="s">
        <v>96</v>
      </c>
      <c r="B5" s="665" t="s">
        <v>110</v>
      </c>
      <c r="C5" s="668" t="s">
        <v>1514</v>
      </c>
      <c r="D5" s="668" t="s">
        <v>1515</v>
      </c>
      <c r="E5" s="668" t="s">
        <v>86</v>
      </c>
      <c r="F5" s="668" t="s">
        <v>390</v>
      </c>
      <c r="G5" s="668" t="s">
        <v>87</v>
      </c>
      <c r="H5" s="671" t="s">
        <v>99</v>
      </c>
      <c r="I5" s="677"/>
      <c r="J5" s="677"/>
      <c r="K5" s="677"/>
      <c r="L5" s="677"/>
      <c r="M5" s="677"/>
      <c r="N5" s="677"/>
      <c r="O5" s="672"/>
      <c r="P5" s="673" t="s">
        <v>100</v>
      </c>
      <c r="Q5" s="674"/>
      <c r="R5" s="665" t="s">
        <v>102</v>
      </c>
      <c r="S5" s="665" t="s">
        <v>109</v>
      </c>
      <c r="T5" s="665" t="s">
        <v>108</v>
      </c>
      <c r="U5" s="662" t="s">
        <v>88</v>
      </c>
    </row>
    <row r="6" spans="1:21" s="66" customFormat="1" ht="15" customHeight="1" x14ac:dyDescent="0.25">
      <c r="A6" s="666"/>
      <c r="B6" s="666"/>
      <c r="C6" s="669"/>
      <c r="D6" s="669"/>
      <c r="E6" s="669"/>
      <c r="F6" s="669"/>
      <c r="G6" s="669"/>
      <c r="H6" s="671" t="s">
        <v>103</v>
      </c>
      <c r="I6" s="672"/>
      <c r="J6" s="671" t="s">
        <v>104</v>
      </c>
      <c r="K6" s="672"/>
      <c r="L6" s="671" t="s">
        <v>105</v>
      </c>
      <c r="M6" s="672"/>
      <c r="N6" s="671" t="s">
        <v>106</v>
      </c>
      <c r="O6" s="672"/>
      <c r="P6" s="675"/>
      <c r="Q6" s="676"/>
      <c r="R6" s="666"/>
      <c r="S6" s="666"/>
      <c r="T6" s="666"/>
      <c r="U6" s="663"/>
    </row>
    <row r="7" spans="1:21" s="67" customFormat="1" ht="24" customHeight="1" x14ac:dyDescent="0.25">
      <c r="A7" s="667"/>
      <c r="B7" s="667"/>
      <c r="C7" s="670"/>
      <c r="D7" s="670"/>
      <c r="E7" s="670"/>
      <c r="F7" s="670"/>
      <c r="G7" s="670"/>
      <c r="H7" s="438" t="s">
        <v>107</v>
      </c>
      <c r="I7" s="438" t="s">
        <v>12</v>
      </c>
      <c r="J7" s="438" t="s">
        <v>107</v>
      </c>
      <c r="K7" s="438" t="s">
        <v>12</v>
      </c>
      <c r="L7" s="438" t="s">
        <v>107</v>
      </c>
      <c r="M7" s="438" t="s">
        <v>12</v>
      </c>
      <c r="N7" s="438" t="s">
        <v>107</v>
      </c>
      <c r="O7" s="438" t="s">
        <v>12</v>
      </c>
      <c r="P7" s="438" t="s">
        <v>107</v>
      </c>
      <c r="Q7" s="438" t="s">
        <v>12</v>
      </c>
      <c r="R7" s="667"/>
      <c r="S7" s="667"/>
      <c r="T7" s="667"/>
      <c r="U7" s="664"/>
    </row>
    <row r="8" spans="1:21" s="260" customFormat="1" ht="15.75" x14ac:dyDescent="0.25">
      <c r="A8" s="439"/>
      <c r="B8" s="440"/>
      <c r="C8" s="441"/>
      <c r="D8" s="441"/>
      <c r="E8" s="441"/>
      <c r="F8" s="442"/>
      <c r="G8" s="441"/>
      <c r="H8" s="443"/>
      <c r="I8" s="443"/>
      <c r="J8" s="443"/>
      <c r="K8" s="443"/>
      <c r="L8" s="443"/>
      <c r="M8" s="443"/>
      <c r="N8" s="443"/>
      <c r="O8" s="443"/>
      <c r="P8" s="443"/>
      <c r="Q8" s="443"/>
      <c r="R8" s="444"/>
      <c r="S8" s="444"/>
      <c r="T8" s="444"/>
      <c r="U8" s="445"/>
    </row>
    <row r="9" spans="1:21" ht="15.75" x14ac:dyDescent="0.25">
      <c r="A9" s="690" t="s">
        <v>1410</v>
      </c>
      <c r="B9" s="687" t="s">
        <v>1411</v>
      </c>
      <c r="C9" s="277"/>
      <c r="D9" s="277"/>
      <c r="E9" s="277"/>
      <c r="F9" s="277"/>
      <c r="G9" s="277"/>
      <c r="H9" s="362"/>
      <c r="I9" s="363"/>
      <c r="J9" s="277"/>
      <c r="K9" s="363"/>
      <c r="L9" s="277"/>
      <c r="M9" s="363"/>
      <c r="N9" s="277"/>
      <c r="O9" s="363"/>
      <c r="P9" s="398">
        <f>H9+J9+L9+N9</f>
        <v>0</v>
      </c>
      <c r="Q9" s="399">
        <f>I9+K9+M9+O9</f>
        <v>0</v>
      </c>
      <c r="R9" s="277"/>
      <c r="S9" s="277"/>
      <c r="T9" s="277"/>
      <c r="U9" s="277"/>
    </row>
    <row r="10" spans="1:21" ht="15.75" x14ac:dyDescent="0.25">
      <c r="A10" s="690"/>
      <c r="B10" s="688"/>
      <c r="C10" s="277"/>
      <c r="D10" s="277"/>
      <c r="E10" s="277"/>
      <c r="F10" s="277"/>
      <c r="G10" s="277"/>
      <c r="H10" s="362"/>
      <c r="I10" s="363"/>
      <c r="J10" s="277"/>
      <c r="K10" s="363"/>
      <c r="L10" s="277"/>
      <c r="M10" s="363"/>
      <c r="N10" s="277"/>
      <c r="O10" s="363"/>
      <c r="P10" s="398">
        <f t="shared" ref="P10:P38" si="0">H10+J10+L10+N10</f>
        <v>0</v>
      </c>
      <c r="Q10" s="399">
        <f t="shared" ref="Q10:Q38" si="1">I10+K10+M10+O10</f>
        <v>0</v>
      </c>
      <c r="R10" s="277"/>
      <c r="S10" s="277"/>
      <c r="T10" s="277"/>
      <c r="U10" s="277"/>
    </row>
    <row r="11" spans="1:21" s="365" customFormat="1" ht="15.75" x14ac:dyDescent="0.25">
      <c r="A11" s="690"/>
      <c r="B11" s="688"/>
      <c r="C11" s="277"/>
      <c r="D11" s="277"/>
      <c r="E11" s="277"/>
      <c r="F11" s="277"/>
      <c r="G11" s="277"/>
      <c r="H11" s="362"/>
      <c r="I11" s="363"/>
      <c r="J11" s="277"/>
      <c r="K11" s="363"/>
      <c r="L11" s="277"/>
      <c r="M11" s="363"/>
      <c r="N11" s="277"/>
      <c r="O11" s="363"/>
      <c r="P11" s="398">
        <f t="shared" si="0"/>
        <v>0</v>
      </c>
      <c r="Q11" s="399">
        <f t="shared" si="1"/>
        <v>0</v>
      </c>
      <c r="R11" s="277"/>
      <c r="S11" s="277"/>
      <c r="T11" s="277"/>
      <c r="U11" s="277"/>
    </row>
    <row r="12" spans="1:21" ht="15.75" x14ac:dyDescent="0.25">
      <c r="A12" s="690"/>
      <c r="B12" s="688"/>
      <c r="C12" s="277"/>
      <c r="D12" s="277"/>
      <c r="E12" s="277"/>
      <c r="F12" s="277"/>
      <c r="G12" s="277"/>
      <c r="H12" s="362"/>
      <c r="I12" s="363"/>
      <c r="J12" s="277"/>
      <c r="K12" s="363"/>
      <c r="L12" s="277"/>
      <c r="M12" s="363"/>
      <c r="N12" s="277"/>
      <c r="O12" s="363"/>
      <c r="P12" s="398">
        <f t="shared" si="0"/>
        <v>0</v>
      </c>
      <c r="Q12" s="399">
        <f t="shared" si="1"/>
        <v>0</v>
      </c>
      <c r="R12" s="277"/>
      <c r="S12" s="277"/>
      <c r="T12" s="277"/>
      <c r="U12" s="277"/>
    </row>
    <row r="13" spans="1:21" ht="15.75" x14ac:dyDescent="0.25">
      <c r="A13" s="690"/>
      <c r="B13" s="688"/>
      <c r="C13" s="277"/>
      <c r="D13" s="277"/>
      <c r="E13" s="277"/>
      <c r="F13" s="277"/>
      <c r="G13" s="277"/>
      <c r="H13" s="362"/>
      <c r="I13" s="363"/>
      <c r="J13" s="277"/>
      <c r="K13" s="363"/>
      <c r="L13" s="277"/>
      <c r="M13" s="363"/>
      <c r="N13" s="277"/>
      <c r="O13" s="363"/>
      <c r="P13" s="398">
        <f t="shared" si="0"/>
        <v>0</v>
      </c>
      <c r="Q13" s="399">
        <f t="shared" si="1"/>
        <v>0</v>
      </c>
      <c r="R13" s="277"/>
      <c r="S13" s="277"/>
      <c r="T13" s="277"/>
      <c r="U13" s="277"/>
    </row>
    <row r="14" spans="1:21" ht="15.75" x14ac:dyDescent="0.25">
      <c r="A14" s="690"/>
      <c r="B14" s="689"/>
      <c r="C14" s="277"/>
      <c r="D14" s="277"/>
      <c r="E14" s="277"/>
      <c r="F14" s="277"/>
      <c r="G14" s="277"/>
      <c r="H14" s="362"/>
      <c r="I14" s="363"/>
      <c r="J14" s="277"/>
      <c r="K14" s="363"/>
      <c r="L14" s="277"/>
      <c r="M14" s="363"/>
      <c r="N14" s="277"/>
      <c r="O14" s="363"/>
      <c r="P14" s="398">
        <f t="shared" si="0"/>
        <v>0</v>
      </c>
      <c r="Q14" s="399">
        <f t="shared" si="1"/>
        <v>0</v>
      </c>
      <c r="R14" s="277"/>
      <c r="S14" s="277"/>
      <c r="T14" s="277"/>
      <c r="U14" s="277"/>
    </row>
    <row r="15" spans="1:21" ht="15.75" x14ac:dyDescent="0.25">
      <c r="A15" s="690"/>
      <c r="B15" s="687" t="s">
        <v>1412</v>
      </c>
      <c r="C15" s="277"/>
      <c r="D15" s="277"/>
      <c r="E15" s="277"/>
      <c r="F15" s="277"/>
      <c r="G15" s="277"/>
      <c r="H15" s="362"/>
      <c r="I15" s="363"/>
      <c r="J15" s="277"/>
      <c r="K15" s="363"/>
      <c r="L15" s="277"/>
      <c r="M15" s="363"/>
      <c r="N15" s="277"/>
      <c r="O15" s="363"/>
      <c r="P15" s="398">
        <f t="shared" si="0"/>
        <v>0</v>
      </c>
      <c r="Q15" s="399">
        <f t="shared" si="1"/>
        <v>0</v>
      </c>
      <c r="R15" s="277"/>
      <c r="S15" s="277"/>
      <c r="T15" s="277"/>
      <c r="U15" s="277"/>
    </row>
    <row r="16" spans="1:21" s="365" customFormat="1" ht="15.75" x14ac:dyDescent="0.25">
      <c r="A16" s="690"/>
      <c r="B16" s="688"/>
      <c r="C16" s="277"/>
      <c r="D16" s="277"/>
      <c r="E16" s="277"/>
      <c r="F16" s="277"/>
      <c r="G16" s="277"/>
      <c r="H16" s="362"/>
      <c r="I16" s="363"/>
      <c r="J16" s="277"/>
      <c r="K16" s="363"/>
      <c r="L16" s="277"/>
      <c r="M16" s="363"/>
      <c r="N16" s="277"/>
      <c r="O16" s="363"/>
      <c r="P16" s="398">
        <f t="shared" si="0"/>
        <v>0</v>
      </c>
      <c r="Q16" s="399">
        <f t="shared" si="1"/>
        <v>0</v>
      </c>
      <c r="R16" s="277"/>
      <c r="S16" s="277"/>
      <c r="T16" s="277"/>
      <c r="U16" s="277"/>
    </row>
    <row r="17" spans="1:21" s="365" customFormat="1" ht="15.75" x14ac:dyDescent="0.25">
      <c r="A17" s="690"/>
      <c r="B17" s="688"/>
      <c r="C17" s="277"/>
      <c r="D17" s="277"/>
      <c r="E17" s="277"/>
      <c r="F17" s="277"/>
      <c r="G17" s="277"/>
      <c r="H17" s="362"/>
      <c r="I17" s="363"/>
      <c r="J17" s="277"/>
      <c r="K17" s="363"/>
      <c r="L17" s="277"/>
      <c r="M17" s="363"/>
      <c r="N17" s="277"/>
      <c r="O17" s="363"/>
      <c r="P17" s="398">
        <f t="shared" si="0"/>
        <v>0</v>
      </c>
      <c r="Q17" s="399">
        <f t="shared" si="1"/>
        <v>0</v>
      </c>
      <c r="R17" s="277"/>
      <c r="S17" s="277"/>
      <c r="T17" s="277"/>
      <c r="U17" s="277"/>
    </row>
    <row r="18" spans="1:21" s="365" customFormat="1" ht="15.75" x14ac:dyDescent="0.25">
      <c r="A18" s="690"/>
      <c r="B18" s="688"/>
      <c r="C18" s="277"/>
      <c r="D18" s="277"/>
      <c r="E18" s="277"/>
      <c r="F18" s="277"/>
      <c r="G18" s="277"/>
      <c r="H18" s="362"/>
      <c r="I18" s="363"/>
      <c r="J18" s="277"/>
      <c r="K18" s="363"/>
      <c r="L18" s="277"/>
      <c r="M18" s="363"/>
      <c r="N18" s="277"/>
      <c r="O18" s="363"/>
      <c r="P18" s="398">
        <f t="shared" si="0"/>
        <v>0</v>
      </c>
      <c r="Q18" s="399">
        <f t="shared" si="1"/>
        <v>0</v>
      </c>
      <c r="R18" s="277"/>
      <c r="S18" s="277"/>
      <c r="T18" s="277"/>
      <c r="U18" s="277"/>
    </row>
    <row r="19" spans="1:21" ht="15.75" x14ac:dyDescent="0.25">
      <c r="A19" s="690"/>
      <c r="B19" s="688"/>
      <c r="C19" s="277"/>
      <c r="D19" s="277"/>
      <c r="E19" s="277"/>
      <c r="F19" s="277"/>
      <c r="G19" s="277"/>
      <c r="H19" s="362"/>
      <c r="I19" s="363"/>
      <c r="J19" s="277"/>
      <c r="K19" s="363"/>
      <c r="L19" s="277"/>
      <c r="M19" s="363"/>
      <c r="N19" s="277"/>
      <c r="O19" s="363"/>
      <c r="P19" s="398">
        <f t="shared" si="0"/>
        <v>0</v>
      </c>
      <c r="Q19" s="399">
        <f t="shared" si="1"/>
        <v>0</v>
      </c>
      <c r="R19" s="277"/>
      <c r="S19" s="277"/>
      <c r="T19" s="277"/>
      <c r="U19" s="277"/>
    </row>
    <row r="20" spans="1:21" ht="15.75" x14ac:dyDescent="0.25">
      <c r="A20" s="690"/>
      <c r="B20" s="689"/>
      <c r="C20" s="277"/>
      <c r="D20" s="277"/>
      <c r="E20" s="277"/>
      <c r="F20" s="277"/>
      <c r="G20" s="277"/>
      <c r="H20" s="362"/>
      <c r="I20" s="363"/>
      <c r="J20" s="277"/>
      <c r="K20" s="363"/>
      <c r="L20" s="277"/>
      <c r="M20" s="363"/>
      <c r="N20" s="277"/>
      <c r="O20" s="363"/>
      <c r="P20" s="398">
        <f t="shared" si="0"/>
        <v>0</v>
      </c>
      <c r="Q20" s="399">
        <f t="shared" si="1"/>
        <v>0</v>
      </c>
      <c r="R20" s="277"/>
      <c r="S20" s="277"/>
      <c r="T20" s="277"/>
      <c r="U20" s="277"/>
    </row>
    <row r="21" spans="1:21" s="365" customFormat="1" ht="15.75" x14ac:dyDescent="0.25">
      <c r="A21" s="690"/>
      <c r="B21" s="687" t="s">
        <v>1413</v>
      </c>
      <c r="C21" s="277"/>
      <c r="D21" s="277"/>
      <c r="E21" s="277"/>
      <c r="F21" s="277"/>
      <c r="G21" s="277"/>
      <c r="H21" s="362"/>
      <c r="I21" s="363"/>
      <c r="J21" s="277"/>
      <c r="K21" s="363"/>
      <c r="L21" s="277"/>
      <c r="M21" s="363"/>
      <c r="N21" s="277"/>
      <c r="O21" s="363"/>
      <c r="P21" s="398">
        <f t="shared" si="0"/>
        <v>0</v>
      </c>
      <c r="Q21" s="399">
        <f t="shared" si="1"/>
        <v>0</v>
      </c>
      <c r="R21" s="277"/>
      <c r="S21" s="277"/>
      <c r="T21" s="277"/>
      <c r="U21" s="277"/>
    </row>
    <row r="22" spans="1:21" s="365" customFormat="1" ht="15.75" x14ac:dyDescent="0.25">
      <c r="A22" s="690"/>
      <c r="B22" s="688"/>
      <c r="C22" s="277"/>
      <c r="D22" s="277"/>
      <c r="E22" s="277"/>
      <c r="F22" s="277"/>
      <c r="G22" s="277"/>
      <c r="H22" s="362"/>
      <c r="I22" s="363"/>
      <c r="J22" s="277"/>
      <c r="K22" s="363"/>
      <c r="L22" s="277"/>
      <c r="M22" s="363"/>
      <c r="N22" s="277"/>
      <c r="O22" s="363"/>
      <c r="P22" s="398">
        <f t="shared" si="0"/>
        <v>0</v>
      </c>
      <c r="Q22" s="399">
        <f t="shared" si="1"/>
        <v>0</v>
      </c>
      <c r="R22" s="277"/>
      <c r="S22" s="277"/>
      <c r="T22" s="277"/>
      <c r="U22" s="277"/>
    </row>
    <row r="23" spans="1:21" s="365" customFormat="1" ht="15.75" x14ac:dyDescent="0.25">
      <c r="A23" s="690"/>
      <c r="B23" s="688"/>
      <c r="C23" s="277"/>
      <c r="D23" s="277"/>
      <c r="E23" s="277"/>
      <c r="F23" s="277"/>
      <c r="G23" s="277"/>
      <c r="H23" s="362"/>
      <c r="I23" s="363"/>
      <c r="J23" s="277"/>
      <c r="K23" s="363"/>
      <c r="L23" s="277"/>
      <c r="M23" s="363"/>
      <c r="N23" s="277"/>
      <c r="O23" s="363"/>
      <c r="P23" s="398">
        <f t="shared" si="0"/>
        <v>0</v>
      </c>
      <c r="Q23" s="399">
        <f t="shared" si="1"/>
        <v>0</v>
      </c>
      <c r="R23" s="277"/>
      <c r="S23" s="277"/>
      <c r="T23" s="277"/>
      <c r="U23" s="277"/>
    </row>
    <row r="24" spans="1:21" s="365" customFormat="1" ht="15.75" x14ac:dyDescent="0.25">
      <c r="A24" s="690"/>
      <c r="B24" s="688"/>
      <c r="C24" s="277"/>
      <c r="D24" s="277"/>
      <c r="E24" s="277"/>
      <c r="F24" s="277"/>
      <c r="G24" s="277"/>
      <c r="H24" s="362"/>
      <c r="I24" s="363"/>
      <c r="J24" s="277"/>
      <c r="K24" s="363"/>
      <c r="L24" s="277"/>
      <c r="M24" s="363"/>
      <c r="N24" s="277"/>
      <c r="O24" s="363"/>
      <c r="P24" s="398">
        <f t="shared" si="0"/>
        <v>0</v>
      </c>
      <c r="Q24" s="399">
        <f t="shared" si="1"/>
        <v>0</v>
      </c>
      <c r="R24" s="277"/>
      <c r="S24" s="277"/>
      <c r="T24" s="277"/>
      <c r="U24" s="277"/>
    </row>
    <row r="25" spans="1:21" s="365" customFormat="1" ht="15.75" x14ac:dyDescent="0.25">
      <c r="A25" s="690"/>
      <c r="B25" s="688"/>
      <c r="C25" s="277"/>
      <c r="D25" s="277"/>
      <c r="E25" s="277"/>
      <c r="F25" s="277"/>
      <c r="G25" s="277"/>
      <c r="H25" s="362"/>
      <c r="I25" s="363"/>
      <c r="J25" s="277"/>
      <c r="K25" s="363"/>
      <c r="L25" s="277"/>
      <c r="M25" s="363"/>
      <c r="N25" s="277"/>
      <c r="O25" s="363"/>
      <c r="P25" s="398">
        <f t="shared" si="0"/>
        <v>0</v>
      </c>
      <c r="Q25" s="399">
        <f t="shared" si="1"/>
        <v>0</v>
      </c>
      <c r="R25" s="277"/>
      <c r="S25" s="277"/>
      <c r="T25" s="277"/>
      <c r="U25" s="277"/>
    </row>
    <row r="26" spans="1:21" ht="15.75" x14ac:dyDescent="0.25">
      <c r="A26" s="690"/>
      <c r="B26" s="689"/>
      <c r="C26" s="277"/>
      <c r="D26" s="277"/>
      <c r="E26" s="277"/>
      <c r="F26" s="277"/>
      <c r="G26" s="277"/>
      <c r="H26" s="277"/>
      <c r="I26" s="363"/>
      <c r="J26" s="277"/>
      <c r="K26" s="363"/>
      <c r="L26" s="277"/>
      <c r="M26" s="363"/>
      <c r="N26" s="277"/>
      <c r="O26" s="363"/>
      <c r="P26" s="398">
        <f t="shared" si="0"/>
        <v>0</v>
      </c>
      <c r="Q26" s="399">
        <f t="shared" si="1"/>
        <v>0</v>
      </c>
      <c r="R26" s="277"/>
      <c r="S26" s="277"/>
      <c r="T26" s="277"/>
      <c r="U26" s="277"/>
    </row>
    <row r="27" spans="1:21" ht="15.75" x14ac:dyDescent="0.25">
      <c r="A27" s="687" t="s">
        <v>1414</v>
      </c>
      <c r="B27" s="687" t="s">
        <v>1416</v>
      </c>
      <c r="C27" s="277"/>
      <c r="D27" s="277"/>
      <c r="E27" s="277"/>
      <c r="F27" s="277"/>
      <c r="G27" s="277"/>
      <c r="H27" s="362"/>
      <c r="I27" s="363"/>
      <c r="J27" s="277"/>
      <c r="K27" s="363"/>
      <c r="L27" s="277"/>
      <c r="M27" s="363"/>
      <c r="N27" s="277"/>
      <c r="O27" s="363"/>
      <c r="P27" s="398">
        <f t="shared" si="0"/>
        <v>0</v>
      </c>
      <c r="Q27" s="399">
        <f t="shared" si="1"/>
        <v>0</v>
      </c>
      <c r="R27" s="277"/>
      <c r="S27" s="277"/>
      <c r="T27" s="277"/>
      <c r="U27" s="277"/>
    </row>
    <row r="28" spans="1:21" s="365" customFormat="1" ht="15.75" x14ac:dyDescent="0.25">
      <c r="A28" s="688"/>
      <c r="B28" s="688"/>
      <c r="C28" s="277"/>
      <c r="D28" s="277"/>
      <c r="E28" s="277"/>
      <c r="F28" s="277"/>
      <c r="G28" s="277"/>
      <c r="H28" s="362"/>
      <c r="I28" s="363"/>
      <c r="J28" s="277"/>
      <c r="K28" s="363"/>
      <c r="L28" s="277"/>
      <c r="M28" s="363"/>
      <c r="N28" s="277"/>
      <c r="O28" s="363"/>
      <c r="P28" s="398">
        <f t="shared" si="0"/>
        <v>0</v>
      </c>
      <c r="Q28" s="399">
        <f t="shared" si="1"/>
        <v>0</v>
      </c>
      <c r="R28" s="277"/>
      <c r="S28" s="277"/>
      <c r="T28" s="277"/>
      <c r="U28" s="277"/>
    </row>
    <row r="29" spans="1:21" s="365" customFormat="1" ht="15.75" x14ac:dyDescent="0.25">
      <c r="A29" s="688"/>
      <c r="B29" s="688"/>
      <c r="C29" s="277"/>
      <c r="D29" s="277"/>
      <c r="E29" s="277"/>
      <c r="F29" s="277"/>
      <c r="G29" s="277"/>
      <c r="H29" s="362"/>
      <c r="I29" s="363"/>
      <c r="J29" s="277"/>
      <c r="K29" s="363"/>
      <c r="L29" s="277"/>
      <c r="M29" s="363"/>
      <c r="N29" s="277"/>
      <c r="O29" s="363"/>
      <c r="P29" s="398">
        <f t="shared" si="0"/>
        <v>0</v>
      </c>
      <c r="Q29" s="399">
        <f t="shared" si="1"/>
        <v>0</v>
      </c>
      <c r="R29" s="277"/>
      <c r="S29" s="277"/>
      <c r="T29" s="277"/>
      <c r="U29" s="277"/>
    </row>
    <row r="30" spans="1:21" s="365" customFormat="1" ht="15.75" x14ac:dyDescent="0.25">
      <c r="A30" s="688"/>
      <c r="B30" s="688"/>
      <c r="C30" s="277"/>
      <c r="D30" s="277"/>
      <c r="E30" s="277"/>
      <c r="F30" s="277"/>
      <c r="G30" s="277"/>
      <c r="H30" s="362"/>
      <c r="I30" s="363"/>
      <c r="J30" s="277"/>
      <c r="K30" s="363"/>
      <c r="L30" s="277"/>
      <c r="M30" s="363"/>
      <c r="N30" s="277"/>
      <c r="O30" s="363"/>
      <c r="P30" s="398">
        <f t="shared" si="0"/>
        <v>0</v>
      </c>
      <c r="Q30" s="399">
        <f t="shared" si="1"/>
        <v>0</v>
      </c>
      <c r="R30" s="277"/>
      <c r="S30" s="277"/>
      <c r="T30" s="277"/>
      <c r="U30" s="277"/>
    </row>
    <row r="31" spans="1:21" s="365" customFormat="1" ht="15.75" x14ac:dyDescent="0.25">
      <c r="A31" s="688"/>
      <c r="B31" s="688"/>
      <c r="C31" s="277"/>
      <c r="D31" s="277"/>
      <c r="E31" s="277"/>
      <c r="F31" s="277"/>
      <c r="G31" s="277"/>
      <c r="H31" s="362"/>
      <c r="I31" s="363"/>
      <c r="J31" s="277"/>
      <c r="K31" s="363"/>
      <c r="L31" s="277"/>
      <c r="M31" s="363"/>
      <c r="N31" s="277"/>
      <c r="O31" s="363"/>
      <c r="P31" s="398">
        <f t="shared" si="0"/>
        <v>0</v>
      </c>
      <c r="Q31" s="399">
        <f t="shared" si="1"/>
        <v>0</v>
      </c>
      <c r="R31" s="277"/>
      <c r="S31" s="277"/>
      <c r="T31" s="277"/>
      <c r="U31" s="277"/>
    </row>
    <row r="32" spans="1:21" s="365" customFormat="1" ht="15.75" x14ac:dyDescent="0.25">
      <c r="A32" s="688"/>
      <c r="B32" s="689"/>
      <c r="C32" s="277"/>
      <c r="D32" s="277"/>
      <c r="E32" s="277"/>
      <c r="F32" s="277"/>
      <c r="G32" s="277"/>
      <c r="H32" s="362"/>
      <c r="I32" s="363"/>
      <c r="J32" s="277"/>
      <c r="K32" s="363"/>
      <c r="L32" s="277"/>
      <c r="M32" s="363"/>
      <c r="N32" s="277"/>
      <c r="O32" s="363"/>
      <c r="P32" s="398">
        <f t="shared" si="0"/>
        <v>0</v>
      </c>
      <c r="Q32" s="399">
        <f t="shared" si="1"/>
        <v>0</v>
      </c>
      <c r="R32" s="277"/>
      <c r="S32" s="277"/>
      <c r="T32" s="277"/>
      <c r="U32" s="277"/>
    </row>
    <row r="33" spans="1:21" ht="15.75" x14ac:dyDescent="0.25">
      <c r="A33" s="688"/>
      <c r="B33" s="687" t="s">
        <v>1417</v>
      </c>
      <c r="C33" s="277"/>
      <c r="D33" s="277"/>
      <c r="E33" s="277"/>
      <c r="F33" s="277"/>
      <c r="G33" s="277"/>
      <c r="H33" s="277"/>
      <c r="I33" s="363"/>
      <c r="J33" s="277"/>
      <c r="K33" s="363"/>
      <c r="L33" s="277"/>
      <c r="M33" s="363"/>
      <c r="N33" s="277"/>
      <c r="O33" s="363"/>
      <c r="P33" s="398">
        <f t="shared" si="0"/>
        <v>0</v>
      </c>
      <c r="Q33" s="399">
        <f t="shared" si="1"/>
        <v>0</v>
      </c>
      <c r="R33" s="277"/>
      <c r="S33" s="277"/>
      <c r="T33" s="277"/>
      <c r="U33" s="277"/>
    </row>
    <row r="34" spans="1:21" s="365" customFormat="1" ht="15.75" x14ac:dyDescent="0.25">
      <c r="A34" s="688"/>
      <c r="B34" s="688"/>
      <c r="C34" s="277"/>
      <c r="D34" s="277"/>
      <c r="E34" s="277"/>
      <c r="F34" s="277"/>
      <c r="G34" s="277"/>
      <c r="H34" s="277"/>
      <c r="I34" s="363"/>
      <c r="J34" s="277"/>
      <c r="K34" s="363"/>
      <c r="L34" s="277"/>
      <c r="M34" s="363"/>
      <c r="N34" s="277"/>
      <c r="O34" s="363"/>
      <c r="P34" s="398">
        <f t="shared" si="0"/>
        <v>0</v>
      </c>
      <c r="Q34" s="399">
        <f t="shared" si="1"/>
        <v>0</v>
      </c>
      <c r="R34" s="277"/>
      <c r="S34" s="277"/>
      <c r="T34" s="277"/>
      <c r="U34" s="277"/>
    </row>
    <row r="35" spans="1:21" s="365" customFormat="1" ht="15.75" x14ac:dyDescent="0.25">
      <c r="A35" s="688"/>
      <c r="B35" s="688"/>
      <c r="C35" s="277"/>
      <c r="D35" s="277"/>
      <c r="E35" s="277"/>
      <c r="F35" s="277"/>
      <c r="G35" s="277"/>
      <c r="H35" s="277"/>
      <c r="I35" s="363"/>
      <c r="J35" s="277"/>
      <c r="K35" s="363"/>
      <c r="L35" s="277"/>
      <c r="M35" s="363"/>
      <c r="N35" s="277"/>
      <c r="O35" s="363"/>
      <c r="P35" s="398">
        <f t="shared" si="0"/>
        <v>0</v>
      </c>
      <c r="Q35" s="399">
        <f t="shared" si="1"/>
        <v>0</v>
      </c>
      <c r="R35" s="277"/>
      <c r="S35" s="277"/>
      <c r="T35" s="277"/>
      <c r="U35" s="277"/>
    </row>
    <row r="36" spans="1:21" s="365" customFormat="1" ht="15.75" x14ac:dyDescent="0.25">
      <c r="A36" s="688"/>
      <c r="B36" s="688"/>
      <c r="C36" s="277"/>
      <c r="D36" s="277"/>
      <c r="E36" s="277"/>
      <c r="F36" s="277"/>
      <c r="G36" s="277"/>
      <c r="H36" s="277"/>
      <c r="I36" s="363"/>
      <c r="J36" s="277"/>
      <c r="K36" s="363"/>
      <c r="L36" s="277"/>
      <c r="M36" s="363"/>
      <c r="N36" s="277"/>
      <c r="O36" s="363"/>
      <c r="P36" s="398">
        <f t="shared" si="0"/>
        <v>0</v>
      </c>
      <c r="Q36" s="399">
        <f t="shared" si="1"/>
        <v>0</v>
      </c>
      <c r="R36" s="277"/>
      <c r="S36" s="277"/>
      <c r="T36" s="277"/>
      <c r="U36" s="277"/>
    </row>
    <row r="37" spans="1:21" ht="15.75" x14ac:dyDescent="0.25">
      <c r="A37" s="688"/>
      <c r="B37" s="688"/>
      <c r="C37" s="277"/>
      <c r="D37" s="277"/>
      <c r="E37" s="277"/>
      <c r="F37" s="277"/>
      <c r="G37" s="277"/>
      <c r="H37" s="277"/>
      <c r="I37" s="363"/>
      <c r="J37" s="277"/>
      <c r="K37" s="363"/>
      <c r="L37" s="277"/>
      <c r="M37" s="363"/>
      <c r="N37" s="277"/>
      <c r="O37" s="363"/>
      <c r="P37" s="398">
        <f t="shared" si="0"/>
        <v>0</v>
      </c>
      <c r="Q37" s="399">
        <f t="shared" si="1"/>
        <v>0</v>
      </c>
      <c r="R37" s="277"/>
      <c r="S37" s="277"/>
      <c r="T37" s="277"/>
      <c r="U37" s="277"/>
    </row>
    <row r="38" spans="1:21" ht="15.75" x14ac:dyDescent="0.25">
      <c r="A38" s="689"/>
      <c r="B38" s="689"/>
      <c r="C38" s="277"/>
      <c r="D38" s="277"/>
      <c r="E38" s="277"/>
      <c r="F38" s="277"/>
      <c r="G38" s="277"/>
      <c r="H38" s="277"/>
      <c r="I38" s="363"/>
      <c r="J38" s="277"/>
      <c r="K38" s="363"/>
      <c r="L38" s="277"/>
      <c r="M38" s="363"/>
      <c r="N38" s="277"/>
      <c r="O38" s="363"/>
      <c r="P38" s="398">
        <f t="shared" si="0"/>
        <v>0</v>
      </c>
      <c r="Q38" s="399">
        <f t="shared" si="1"/>
        <v>0</v>
      </c>
      <c r="R38" s="277"/>
      <c r="S38" s="277"/>
      <c r="T38" s="277"/>
      <c r="U38" s="359"/>
    </row>
    <row r="39" spans="1:21" ht="15.75" x14ac:dyDescent="0.25">
      <c r="A39" s="297"/>
      <c r="B39" s="298"/>
      <c r="C39" s="297" t="s">
        <v>1408</v>
      </c>
      <c r="D39" s="298"/>
      <c r="E39" s="298"/>
      <c r="F39" s="298"/>
      <c r="G39" s="299"/>
      <c r="H39" s="264">
        <f t="shared" ref="H39:Q39" si="2">SUM(H9:H38)</f>
        <v>0</v>
      </c>
      <c r="I39" s="232">
        <f t="shared" si="2"/>
        <v>0</v>
      </c>
      <c r="J39" s="264">
        <f t="shared" si="2"/>
        <v>0</v>
      </c>
      <c r="K39" s="232">
        <f t="shared" si="2"/>
        <v>0</v>
      </c>
      <c r="L39" s="264">
        <f t="shared" si="2"/>
        <v>0</v>
      </c>
      <c r="M39" s="232">
        <f t="shared" si="2"/>
        <v>0</v>
      </c>
      <c r="N39" s="264">
        <f t="shared" si="2"/>
        <v>0</v>
      </c>
      <c r="O39" s="232">
        <f t="shared" si="2"/>
        <v>0</v>
      </c>
      <c r="P39" s="232">
        <f t="shared" si="2"/>
        <v>0</v>
      </c>
      <c r="Q39" s="232">
        <f t="shared" si="2"/>
        <v>0</v>
      </c>
      <c r="R39" s="264"/>
      <c r="S39" s="264"/>
      <c r="T39" s="264"/>
      <c r="U39" s="278"/>
    </row>
    <row r="44" spans="1:21" x14ac:dyDescent="0.25">
      <c r="C44" s="462"/>
    </row>
    <row r="45" spans="1:21" x14ac:dyDescent="0.25">
      <c r="C45" s="462"/>
    </row>
    <row r="46" spans="1:21" x14ac:dyDescent="0.25">
      <c r="C46" s="462"/>
    </row>
    <row r="47" spans="1:21" x14ac:dyDescent="0.25">
      <c r="C47" s="462"/>
    </row>
    <row r="48" spans="1:21" x14ac:dyDescent="0.25">
      <c r="C48" s="462"/>
    </row>
    <row r="49" spans="3:3" x14ac:dyDescent="0.25">
      <c r="C49" s="462"/>
    </row>
    <row r="59" spans="3:3" s="260" customFormat="1" ht="12" x14ac:dyDescent="0.25"/>
    <row r="60" spans="3:3" s="260" customFormat="1" ht="12" x14ac:dyDescent="0.25"/>
    <row r="73" s="260" customFormat="1" ht="12" x14ac:dyDescent="0.25"/>
    <row r="74" s="260" customFormat="1" ht="12" x14ac:dyDescent="0.25"/>
  </sheetData>
  <mergeCells count="26">
    <mergeCell ref="A3:U3"/>
    <mergeCell ref="B9:B14"/>
    <mergeCell ref="B15:B20"/>
    <mergeCell ref="B21:B26"/>
    <mergeCell ref="B33:B38"/>
    <mergeCell ref="B27:B32"/>
    <mergeCell ref="A5:A7"/>
    <mergeCell ref="B5:B7"/>
    <mergeCell ref="C5:C7"/>
    <mergeCell ref="E5:E7"/>
    <mergeCell ref="A9:A26"/>
    <mergeCell ref="A27:A38"/>
    <mergeCell ref="A4:U4"/>
    <mergeCell ref="F5:F7"/>
    <mergeCell ref="J6:K6"/>
    <mergeCell ref="L6:M6"/>
    <mergeCell ref="D5:D7"/>
    <mergeCell ref="T5:T7"/>
    <mergeCell ref="U5:U7"/>
    <mergeCell ref="P5:Q6"/>
    <mergeCell ref="R5:R7"/>
    <mergeCell ref="N6:O6"/>
    <mergeCell ref="G5:G7"/>
    <mergeCell ref="H5:O5"/>
    <mergeCell ref="H6:I6"/>
    <mergeCell ref="S5:S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38">
      <formula1>$P$1:$U$1</formula1>
    </dataValidation>
  </dataValidation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
  <sheetViews>
    <sheetView workbookViewId="0">
      <pane ySplit="6" topLeftCell="A7" activePane="bottomLeft" state="frozen"/>
      <selection activeCell="R5" sqref="R5"/>
      <selection pane="bottomLeft" activeCell="C36" sqref="C36"/>
    </sheetView>
  </sheetViews>
  <sheetFormatPr baseColWidth="10" defaultRowHeight="15" x14ac:dyDescent="0.25"/>
  <cols>
    <col min="1" max="2" width="21.7109375" customWidth="1"/>
    <col min="3" max="3" width="27.42578125" customWidth="1"/>
    <col min="4" max="4" width="27.42578125" style="462"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2" ht="18.75" x14ac:dyDescent="0.25">
      <c r="B1" s="284"/>
      <c r="C1" s="501" t="s">
        <v>1622</v>
      </c>
      <c r="D1" s="284"/>
      <c r="E1" s="284"/>
      <c r="F1" s="284"/>
      <c r="H1" s="284" t="s">
        <v>1418</v>
      </c>
      <c r="J1" s="284"/>
      <c r="K1" s="284"/>
      <c r="L1" s="284"/>
      <c r="M1" s="284"/>
      <c r="N1" s="284"/>
      <c r="O1" s="284"/>
      <c r="P1" s="284"/>
      <c r="Q1" s="284"/>
      <c r="R1" s="284"/>
      <c r="S1" s="284"/>
      <c r="T1" s="284"/>
      <c r="U1" s="284"/>
      <c r="V1" s="284"/>
    </row>
    <row r="2" spans="1:22" s="365" customFormat="1" ht="18.75" x14ac:dyDescent="0.25">
      <c r="A2" s="365" t="s">
        <v>1346</v>
      </c>
      <c r="B2" s="284"/>
      <c r="C2" s="284"/>
      <c r="D2" s="284"/>
      <c r="E2" s="284"/>
      <c r="F2" s="284"/>
      <c r="H2" s="284"/>
      <c r="I2" s="233"/>
      <c r="J2" s="284"/>
      <c r="K2" s="284"/>
      <c r="L2" s="284"/>
      <c r="M2" s="284"/>
      <c r="N2" s="284"/>
      <c r="O2" s="284"/>
      <c r="P2" s="284"/>
      <c r="Q2" s="284"/>
      <c r="R2" s="284"/>
      <c r="S2" s="284"/>
      <c r="T2" s="284"/>
      <c r="U2" s="284"/>
      <c r="V2" s="284"/>
    </row>
    <row r="3" spans="1:22" x14ac:dyDescent="0.25">
      <c r="A3" s="269" t="s">
        <v>1421</v>
      </c>
      <c r="B3" s="269"/>
      <c r="C3" s="269"/>
      <c r="D3" s="269"/>
      <c r="E3" s="269"/>
      <c r="F3" s="269"/>
      <c r="G3" s="269"/>
      <c r="H3" s="269"/>
      <c r="I3" s="269"/>
      <c r="J3" s="269"/>
      <c r="K3" s="269"/>
      <c r="L3" s="269"/>
      <c r="M3" s="269"/>
      <c r="N3" s="269"/>
      <c r="O3" s="269"/>
      <c r="P3" s="269"/>
      <c r="Q3" s="269"/>
      <c r="R3" s="269"/>
      <c r="S3" s="269"/>
      <c r="T3" s="269"/>
      <c r="U3" s="269"/>
      <c r="V3" s="269"/>
    </row>
    <row r="4" spans="1:22" ht="15" customHeight="1" x14ac:dyDescent="0.25">
      <c r="A4" s="666" t="s">
        <v>96</v>
      </c>
      <c r="B4" s="665" t="s">
        <v>110</v>
      </c>
      <c r="C4" s="668" t="s">
        <v>1514</v>
      </c>
      <c r="D4" s="668" t="s">
        <v>1515</v>
      </c>
      <c r="E4" s="668" t="s">
        <v>86</v>
      </c>
      <c r="F4" s="668" t="s">
        <v>390</v>
      </c>
      <c r="G4" s="668" t="s">
        <v>87</v>
      </c>
      <c r="H4" s="671" t="s">
        <v>99</v>
      </c>
      <c r="I4" s="677"/>
      <c r="J4" s="677"/>
      <c r="K4" s="677"/>
      <c r="L4" s="677"/>
      <c r="M4" s="677"/>
      <c r="N4" s="677"/>
      <c r="O4" s="672"/>
      <c r="P4" s="673" t="s">
        <v>100</v>
      </c>
      <c r="Q4" s="674"/>
      <c r="R4" s="665" t="s">
        <v>101</v>
      </c>
      <c r="S4" s="665" t="s">
        <v>102</v>
      </c>
      <c r="T4" s="665" t="s">
        <v>109</v>
      </c>
      <c r="U4" s="665" t="s">
        <v>108</v>
      </c>
      <c r="V4" s="662" t="s">
        <v>88</v>
      </c>
    </row>
    <row r="5" spans="1:22" ht="15" customHeight="1" x14ac:dyDescent="0.25">
      <c r="A5" s="666"/>
      <c r="B5" s="666"/>
      <c r="C5" s="669"/>
      <c r="D5" s="669"/>
      <c r="E5" s="669"/>
      <c r="F5" s="669"/>
      <c r="G5" s="669"/>
      <c r="H5" s="671" t="s">
        <v>103</v>
      </c>
      <c r="I5" s="672"/>
      <c r="J5" s="671" t="s">
        <v>104</v>
      </c>
      <c r="K5" s="672"/>
      <c r="L5" s="671" t="s">
        <v>105</v>
      </c>
      <c r="M5" s="672"/>
      <c r="N5" s="671" t="s">
        <v>106</v>
      </c>
      <c r="O5" s="672"/>
      <c r="P5" s="675"/>
      <c r="Q5" s="676"/>
      <c r="R5" s="666"/>
      <c r="S5" s="666"/>
      <c r="T5" s="666"/>
      <c r="U5" s="666"/>
      <c r="V5" s="663"/>
    </row>
    <row r="6" spans="1:22" ht="25.5" x14ac:dyDescent="0.25">
      <c r="A6" s="667"/>
      <c r="B6" s="667"/>
      <c r="C6" s="670"/>
      <c r="D6" s="670"/>
      <c r="E6" s="670"/>
      <c r="F6" s="670"/>
      <c r="G6" s="670"/>
      <c r="H6" s="438" t="s">
        <v>107</v>
      </c>
      <c r="I6" s="438" t="s">
        <v>12</v>
      </c>
      <c r="J6" s="438" t="s">
        <v>107</v>
      </c>
      <c r="K6" s="438" t="s">
        <v>12</v>
      </c>
      <c r="L6" s="438" t="s">
        <v>107</v>
      </c>
      <c r="M6" s="438" t="s">
        <v>12</v>
      </c>
      <c r="N6" s="438" t="s">
        <v>107</v>
      </c>
      <c r="O6" s="438" t="s">
        <v>12</v>
      </c>
      <c r="P6" s="438" t="s">
        <v>107</v>
      </c>
      <c r="Q6" s="438" t="s">
        <v>12</v>
      </c>
      <c r="R6" s="667"/>
      <c r="S6" s="667"/>
      <c r="T6" s="667"/>
      <c r="U6" s="667"/>
      <c r="V6" s="664"/>
    </row>
    <row r="7" spans="1:22" s="365" customFormat="1" ht="15.75" x14ac:dyDescent="0.25">
      <c r="A7" s="439"/>
      <c r="B7" s="440"/>
      <c r="C7" s="441"/>
      <c r="D7" s="441"/>
      <c r="E7" s="441"/>
      <c r="F7" s="442"/>
      <c r="G7" s="441"/>
      <c r="H7" s="443"/>
      <c r="I7" s="443"/>
      <c r="J7" s="443"/>
      <c r="K7" s="443"/>
      <c r="L7" s="443"/>
      <c r="M7" s="443"/>
      <c r="N7" s="443"/>
      <c r="O7" s="443"/>
      <c r="P7" s="443"/>
      <c r="Q7" s="443"/>
      <c r="R7" s="444"/>
      <c r="S7" s="444"/>
      <c r="T7" s="444"/>
      <c r="U7" s="444"/>
      <c r="V7" s="445"/>
    </row>
    <row r="8" spans="1:22" ht="15.75" customHeight="1" x14ac:dyDescent="0.25">
      <c r="A8" s="690" t="s">
        <v>1419</v>
      </c>
      <c r="B8" s="687" t="s">
        <v>1420</v>
      </c>
      <c r="C8" s="325"/>
      <c r="D8" s="325"/>
      <c r="E8" s="325"/>
      <c r="F8" s="325"/>
      <c r="G8" s="325"/>
      <c r="H8" s="355"/>
      <c r="I8" s="356"/>
      <c r="J8" s="355"/>
      <c r="K8" s="356"/>
      <c r="L8" s="355"/>
      <c r="M8" s="356"/>
      <c r="N8" s="355"/>
      <c r="O8" s="356"/>
      <c r="P8" s="398">
        <f>H8+J8+L8+N8</f>
        <v>0</v>
      </c>
      <c r="Q8" s="399">
        <f>I8+K8+M8+O8</f>
        <v>0</v>
      </c>
      <c r="R8" s="325"/>
      <c r="S8" s="325"/>
      <c r="T8" s="325"/>
      <c r="U8" s="325"/>
      <c r="V8" s="325"/>
    </row>
    <row r="9" spans="1:22" ht="15.75" x14ac:dyDescent="0.25">
      <c r="A9" s="690"/>
      <c r="B9" s="688"/>
      <c r="C9" s="325"/>
      <c r="D9" s="325"/>
      <c r="E9" s="325"/>
      <c r="F9" s="325"/>
      <c r="G9" s="325"/>
      <c r="H9" s="355"/>
      <c r="I9" s="356"/>
      <c r="J9" s="355"/>
      <c r="K9" s="356"/>
      <c r="L9" s="355"/>
      <c r="M9" s="356"/>
      <c r="N9" s="355"/>
      <c r="O9" s="356"/>
      <c r="P9" s="398">
        <f t="shared" ref="P9:P20" si="0">H9+J9+L9+N9</f>
        <v>0</v>
      </c>
      <c r="Q9" s="399">
        <f t="shared" ref="Q9:Q20" si="1">I9+K9+M9+O9</f>
        <v>0</v>
      </c>
      <c r="R9" s="325"/>
      <c r="S9" s="325"/>
      <c r="T9" s="325"/>
      <c r="U9" s="325"/>
      <c r="V9" s="325"/>
    </row>
    <row r="10" spans="1:22" s="365" customFormat="1" ht="15.75" x14ac:dyDescent="0.25">
      <c r="A10" s="690"/>
      <c r="B10" s="688"/>
      <c r="C10" s="325"/>
      <c r="D10" s="325"/>
      <c r="E10" s="325"/>
      <c r="F10" s="325"/>
      <c r="G10" s="325"/>
      <c r="H10" s="355"/>
      <c r="I10" s="356"/>
      <c r="J10" s="355"/>
      <c r="K10" s="356"/>
      <c r="L10" s="355"/>
      <c r="M10" s="356"/>
      <c r="N10" s="355"/>
      <c r="O10" s="356"/>
      <c r="P10" s="398">
        <f t="shared" ref="P10:P15" si="2">H10+J10+L10+N10</f>
        <v>0</v>
      </c>
      <c r="Q10" s="399">
        <f t="shared" ref="Q10:Q15" si="3">I10+K10+M10+O10</f>
        <v>0</v>
      </c>
      <c r="R10" s="325"/>
      <c r="S10" s="325"/>
      <c r="T10" s="325"/>
      <c r="U10" s="325"/>
      <c r="V10" s="325"/>
    </row>
    <row r="11" spans="1:22" s="365" customFormat="1" ht="15.75" x14ac:dyDescent="0.25">
      <c r="A11" s="690"/>
      <c r="B11" s="688"/>
      <c r="C11" s="325"/>
      <c r="D11" s="325"/>
      <c r="E11" s="325"/>
      <c r="F11" s="325"/>
      <c r="G11" s="325"/>
      <c r="H11" s="355"/>
      <c r="I11" s="356"/>
      <c r="J11" s="355"/>
      <c r="K11" s="356"/>
      <c r="L11" s="355"/>
      <c r="M11" s="356"/>
      <c r="N11" s="355"/>
      <c r="O11" s="356"/>
      <c r="P11" s="398">
        <f t="shared" si="2"/>
        <v>0</v>
      </c>
      <c r="Q11" s="399">
        <f t="shared" si="3"/>
        <v>0</v>
      </c>
      <c r="R11" s="325"/>
      <c r="S11" s="325"/>
      <c r="T11" s="325"/>
      <c r="U11" s="325"/>
      <c r="V11" s="325"/>
    </row>
    <row r="12" spans="1:22" s="365" customFormat="1" ht="15.75" x14ac:dyDescent="0.25">
      <c r="A12" s="690"/>
      <c r="B12" s="688"/>
      <c r="C12" s="325"/>
      <c r="D12" s="325"/>
      <c r="E12" s="325"/>
      <c r="F12" s="325"/>
      <c r="G12" s="325"/>
      <c r="H12" s="355"/>
      <c r="I12" s="356"/>
      <c r="J12" s="355"/>
      <c r="K12" s="356"/>
      <c r="L12" s="355"/>
      <c r="M12" s="356"/>
      <c r="N12" s="355"/>
      <c r="O12" s="356"/>
      <c r="P12" s="398">
        <f t="shared" si="2"/>
        <v>0</v>
      </c>
      <c r="Q12" s="399">
        <f t="shared" si="3"/>
        <v>0</v>
      </c>
      <c r="R12" s="325"/>
      <c r="S12" s="325"/>
      <c r="T12" s="325"/>
      <c r="U12" s="325"/>
      <c r="V12" s="325"/>
    </row>
    <row r="13" spans="1:22" s="365" customFormat="1" ht="15.75" x14ac:dyDescent="0.25">
      <c r="A13" s="690"/>
      <c r="B13" s="688"/>
      <c r="C13" s="325"/>
      <c r="D13" s="325"/>
      <c r="E13" s="325"/>
      <c r="F13" s="325"/>
      <c r="G13" s="325"/>
      <c r="H13" s="355"/>
      <c r="I13" s="356"/>
      <c r="J13" s="355"/>
      <c r="K13" s="356"/>
      <c r="L13" s="355"/>
      <c r="M13" s="356"/>
      <c r="N13" s="355"/>
      <c r="O13" s="356"/>
      <c r="P13" s="398">
        <f>H13+J13+L13+N13</f>
        <v>0</v>
      </c>
      <c r="Q13" s="399">
        <f>I13+K13+M13+O13</f>
        <v>0</v>
      </c>
      <c r="R13" s="325"/>
      <c r="S13" s="325"/>
      <c r="T13" s="325"/>
      <c r="U13" s="325"/>
      <c r="V13" s="325"/>
    </row>
    <row r="14" spans="1:22" s="365" customFormat="1" ht="15.75" x14ac:dyDescent="0.25">
      <c r="A14" s="690"/>
      <c r="B14" s="688"/>
      <c r="C14" s="325"/>
      <c r="D14" s="325"/>
      <c r="E14" s="325"/>
      <c r="F14" s="325"/>
      <c r="G14" s="325"/>
      <c r="H14" s="355"/>
      <c r="I14" s="356"/>
      <c r="J14" s="355"/>
      <c r="K14" s="356"/>
      <c r="L14" s="355"/>
      <c r="M14" s="356"/>
      <c r="N14" s="355"/>
      <c r="O14" s="356"/>
      <c r="P14" s="398">
        <f>H14+J14+L14+N14</f>
        <v>0</v>
      </c>
      <c r="Q14" s="399">
        <f>I14+K14+M14+O14</f>
        <v>0</v>
      </c>
      <c r="R14" s="325"/>
      <c r="S14" s="325"/>
      <c r="T14" s="325"/>
      <c r="U14" s="325"/>
      <c r="V14" s="325"/>
    </row>
    <row r="15" spans="1:22" ht="15.75" x14ac:dyDescent="0.25">
      <c r="A15" s="690"/>
      <c r="B15" s="688"/>
      <c r="C15" s="325"/>
      <c r="D15" s="325"/>
      <c r="E15" s="325"/>
      <c r="F15" s="325"/>
      <c r="G15" s="325"/>
      <c r="H15" s="355"/>
      <c r="I15" s="356"/>
      <c r="J15" s="355"/>
      <c r="K15" s="356"/>
      <c r="L15" s="355"/>
      <c r="M15" s="356"/>
      <c r="N15" s="355"/>
      <c r="O15" s="356"/>
      <c r="P15" s="398">
        <f t="shared" si="2"/>
        <v>0</v>
      </c>
      <c r="Q15" s="399">
        <f t="shared" si="3"/>
        <v>0</v>
      </c>
      <c r="R15" s="325"/>
      <c r="S15" s="325"/>
      <c r="T15" s="325"/>
      <c r="U15" s="325"/>
      <c r="V15" s="325"/>
    </row>
    <row r="16" spans="1:22" ht="15.75" x14ac:dyDescent="0.25">
      <c r="A16" s="690"/>
      <c r="B16" s="688"/>
      <c r="C16" s="325"/>
      <c r="D16" s="325"/>
      <c r="E16" s="325"/>
      <c r="F16" s="325"/>
      <c r="G16" s="325"/>
      <c r="H16" s="355"/>
      <c r="I16" s="356"/>
      <c r="J16" s="355"/>
      <c r="K16" s="356"/>
      <c r="L16" s="355"/>
      <c r="M16" s="356"/>
      <c r="N16" s="355"/>
      <c r="O16" s="356"/>
      <c r="P16" s="398">
        <f t="shared" si="0"/>
        <v>0</v>
      </c>
      <c r="Q16" s="399">
        <f t="shared" si="1"/>
        <v>0</v>
      </c>
      <c r="R16" s="325"/>
      <c r="S16" s="325"/>
      <c r="T16" s="325"/>
      <c r="U16" s="325"/>
      <c r="V16" s="325"/>
    </row>
    <row r="17" spans="1:22" ht="15.75" x14ac:dyDescent="0.25">
      <c r="A17" s="690"/>
      <c r="B17" s="688"/>
      <c r="C17" s="325"/>
      <c r="D17" s="325"/>
      <c r="E17" s="325"/>
      <c r="F17" s="325"/>
      <c r="G17" s="325"/>
      <c r="H17" s="355"/>
      <c r="I17" s="356"/>
      <c r="J17" s="355"/>
      <c r="K17" s="356"/>
      <c r="L17" s="355"/>
      <c r="M17" s="356"/>
      <c r="N17" s="355"/>
      <c r="O17" s="356"/>
      <c r="P17" s="398">
        <f t="shared" si="0"/>
        <v>0</v>
      </c>
      <c r="Q17" s="399">
        <f t="shared" si="1"/>
        <v>0</v>
      </c>
      <c r="R17" s="325"/>
      <c r="S17" s="325"/>
      <c r="T17" s="325"/>
      <c r="U17" s="325"/>
      <c r="V17" s="325"/>
    </row>
    <row r="18" spans="1:22" ht="15.75" x14ac:dyDescent="0.25">
      <c r="A18" s="690"/>
      <c r="B18" s="688"/>
      <c r="C18" s="325"/>
      <c r="D18" s="325"/>
      <c r="E18" s="325"/>
      <c r="F18" s="325"/>
      <c r="G18" s="325"/>
      <c r="H18" s="355"/>
      <c r="I18" s="356"/>
      <c r="J18" s="355"/>
      <c r="K18" s="356"/>
      <c r="L18" s="355"/>
      <c r="M18" s="356"/>
      <c r="N18" s="355"/>
      <c r="O18" s="356"/>
      <c r="P18" s="398">
        <f t="shared" si="0"/>
        <v>0</v>
      </c>
      <c r="Q18" s="399">
        <f t="shared" si="1"/>
        <v>0</v>
      </c>
      <c r="R18" s="325"/>
      <c r="S18" s="325"/>
      <c r="T18" s="325"/>
      <c r="U18" s="325"/>
      <c r="V18" s="325"/>
    </row>
    <row r="19" spans="1:22" ht="15.75" x14ac:dyDescent="0.25">
      <c r="A19" s="690"/>
      <c r="B19" s="688"/>
      <c r="C19" s="325"/>
      <c r="D19" s="325"/>
      <c r="E19" s="325"/>
      <c r="F19" s="325"/>
      <c r="G19" s="325"/>
      <c r="H19" s="355"/>
      <c r="I19" s="356"/>
      <c r="J19" s="355"/>
      <c r="K19" s="356"/>
      <c r="L19" s="355"/>
      <c r="M19" s="356"/>
      <c r="N19" s="355"/>
      <c r="O19" s="356"/>
      <c r="P19" s="398">
        <f t="shared" si="0"/>
        <v>0</v>
      </c>
      <c r="Q19" s="399">
        <f t="shared" si="1"/>
        <v>0</v>
      </c>
      <c r="R19" s="325"/>
      <c r="S19" s="325"/>
      <c r="T19" s="325"/>
      <c r="U19" s="325"/>
      <c r="V19" s="325"/>
    </row>
    <row r="20" spans="1:22" ht="15.75" x14ac:dyDescent="0.25">
      <c r="A20" s="690"/>
      <c r="B20" s="689"/>
      <c r="C20" s="325"/>
      <c r="D20" s="325"/>
      <c r="E20" s="325"/>
      <c r="F20" s="325"/>
      <c r="G20" s="325"/>
      <c r="H20" s="355"/>
      <c r="I20" s="356"/>
      <c r="J20" s="355"/>
      <c r="K20" s="356"/>
      <c r="L20" s="355"/>
      <c r="M20" s="356"/>
      <c r="N20" s="355"/>
      <c r="O20" s="356"/>
      <c r="P20" s="398">
        <f t="shared" si="0"/>
        <v>0</v>
      </c>
      <c r="Q20" s="399">
        <f t="shared" si="1"/>
        <v>0</v>
      </c>
      <c r="R20" s="325"/>
      <c r="S20" s="325"/>
      <c r="T20" s="325"/>
      <c r="U20" s="325"/>
      <c r="V20" s="325"/>
    </row>
    <row r="21" spans="1:22" ht="15.6" customHeight="1" x14ac:dyDescent="0.25">
      <c r="A21" s="291"/>
      <c r="B21" s="292"/>
      <c r="C21" s="291" t="s">
        <v>1506</v>
      </c>
      <c r="D21" s="292"/>
      <c r="E21" s="292"/>
      <c r="F21" s="292"/>
      <c r="G21" s="293"/>
      <c r="H21" s="287">
        <f t="shared" ref="H21:Q21" si="4">SUM(H8:H20)</f>
        <v>0</v>
      </c>
      <c r="I21" s="235">
        <f t="shared" si="4"/>
        <v>0</v>
      </c>
      <c r="J21" s="287">
        <f t="shared" si="4"/>
        <v>0</v>
      </c>
      <c r="K21" s="235">
        <f t="shared" si="4"/>
        <v>0</v>
      </c>
      <c r="L21" s="287">
        <f t="shared" si="4"/>
        <v>0</v>
      </c>
      <c r="M21" s="235">
        <f t="shared" si="4"/>
        <v>0</v>
      </c>
      <c r="N21" s="287">
        <f t="shared" si="4"/>
        <v>0</v>
      </c>
      <c r="O21" s="235">
        <f t="shared" si="4"/>
        <v>0</v>
      </c>
      <c r="P21" s="235">
        <f t="shared" si="4"/>
        <v>0</v>
      </c>
      <c r="Q21" s="235">
        <f t="shared" si="4"/>
        <v>0</v>
      </c>
      <c r="R21" s="264"/>
      <c r="S21" s="264"/>
      <c r="T21" s="264"/>
      <c r="U21" s="264"/>
      <c r="V21" s="264"/>
    </row>
  </sheetData>
  <mergeCells count="20">
    <mergeCell ref="A8:A20"/>
    <mergeCell ref="B8:B20"/>
    <mergeCell ref="A4:A6"/>
    <mergeCell ref="B4:B6"/>
    <mergeCell ref="C4:C6"/>
    <mergeCell ref="D4:D6"/>
    <mergeCell ref="E4:E6"/>
    <mergeCell ref="G4:G6"/>
    <mergeCell ref="F4:F6"/>
    <mergeCell ref="V4:V6"/>
    <mergeCell ref="H5:I5"/>
    <mergeCell ref="J5:K5"/>
    <mergeCell ref="L5:M5"/>
    <mergeCell ref="N5:O5"/>
    <mergeCell ref="H4:O4"/>
    <mergeCell ref="P4:Q5"/>
    <mergeCell ref="R4:R6"/>
    <mergeCell ref="S4:S6"/>
    <mergeCell ref="T4:T6"/>
    <mergeCell ref="U4:U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workbookViewId="0">
      <pane ySplit="7" topLeftCell="A8" activePane="bottomLeft" state="frozen"/>
      <selection activeCell="A7" sqref="A7"/>
      <selection pane="bottomLeft" activeCell="C18" sqref="C18"/>
    </sheetView>
  </sheetViews>
  <sheetFormatPr baseColWidth="10" defaultRowHeight="15" x14ac:dyDescent="0.25"/>
  <cols>
    <col min="1" max="1" width="21.7109375" customWidth="1"/>
    <col min="2" max="2" width="26.28515625" customWidth="1"/>
    <col min="3" max="3" width="27.42578125" customWidth="1"/>
    <col min="4" max="4" width="27.42578125" style="462" customWidth="1"/>
    <col min="5" max="7" width="27.42578125" customWidth="1"/>
    <col min="8" max="8" width="15.28515625" customWidth="1"/>
    <col min="9" max="9" width="14.85546875" style="233" bestFit="1" customWidth="1"/>
    <col min="10" max="10" width="15.28515625" customWidth="1"/>
    <col min="11" max="11" width="18.85546875" style="233" customWidth="1"/>
    <col min="13" max="13" width="14.85546875" style="233" bestFit="1" customWidth="1"/>
    <col min="15" max="15" width="14.85546875" style="233" bestFit="1" customWidth="1"/>
    <col min="16" max="16" width="15.28515625" customWidth="1"/>
    <col min="17" max="17" width="18.28515625" style="233" customWidth="1"/>
    <col min="18" max="18" width="14.140625" hidden="1" customWidth="1"/>
    <col min="19" max="21" width="14.140625" customWidth="1"/>
    <col min="22" max="22" width="17" customWidth="1"/>
  </cols>
  <sheetData>
    <row r="1" spans="1:22" ht="18" customHeight="1" x14ac:dyDescent="0.25">
      <c r="B1" s="241"/>
      <c r="C1" s="502" t="s">
        <v>1623</v>
      </c>
      <c r="D1" s="502" t="s">
        <v>1624</v>
      </c>
      <c r="E1" s="241"/>
      <c r="F1" s="243"/>
      <c r="G1" s="241"/>
      <c r="H1" s="290" t="s">
        <v>1352</v>
      </c>
      <c r="K1" s="241"/>
      <c r="L1" s="241"/>
      <c r="M1" s="241"/>
      <c r="N1" s="241"/>
      <c r="O1" s="241"/>
      <c r="P1" s="241"/>
      <c r="Q1" s="241"/>
      <c r="R1" s="241"/>
      <c r="S1" s="241"/>
      <c r="T1" s="241"/>
      <c r="U1" s="241"/>
      <c r="V1" s="241"/>
    </row>
    <row r="2" spans="1:22" ht="18" customHeight="1" x14ac:dyDescent="0.25">
      <c r="B2" s="243"/>
      <c r="C2" s="243"/>
      <c r="D2" s="243"/>
      <c r="E2" s="243"/>
      <c r="F2" s="243"/>
      <c r="G2" s="243"/>
      <c r="H2" s="290"/>
      <c r="K2" s="243"/>
      <c r="L2" s="243"/>
      <c r="M2" s="243"/>
      <c r="N2" s="243"/>
      <c r="O2" s="243"/>
      <c r="P2" s="243"/>
      <c r="Q2" s="243"/>
      <c r="R2" s="243"/>
      <c r="S2" s="243"/>
      <c r="T2" s="243"/>
      <c r="U2" s="243"/>
      <c r="V2" s="243"/>
    </row>
    <row r="3" spans="1:22" ht="18" customHeight="1" x14ac:dyDescent="0.25">
      <c r="A3" s="315" t="s">
        <v>1345</v>
      </c>
      <c r="B3" s="243"/>
      <c r="C3" s="243"/>
      <c r="D3" s="243"/>
      <c r="E3" s="243"/>
      <c r="F3" s="243"/>
      <c r="G3" s="243"/>
      <c r="H3" s="290"/>
      <c r="K3" s="243"/>
      <c r="L3" s="243"/>
      <c r="M3" s="243"/>
      <c r="N3" s="243"/>
      <c r="O3" s="243"/>
      <c r="P3" s="243"/>
      <c r="Q3" s="243"/>
      <c r="R3" s="243"/>
      <c r="S3" s="243"/>
      <c r="T3" s="243"/>
      <c r="U3" s="243"/>
      <c r="V3" s="243"/>
    </row>
    <row r="4" spans="1:22" ht="33" customHeight="1" x14ac:dyDescent="0.25">
      <c r="A4" s="715" t="s">
        <v>1351</v>
      </c>
      <c r="B4" s="715"/>
      <c r="C4" s="715"/>
      <c r="D4" s="715"/>
      <c r="E4" s="715"/>
      <c r="F4" s="715"/>
      <c r="G4" s="715"/>
      <c r="H4" s="715"/>
      <c r="I4" s="715"/>
      <c r="J4" s="715"/>
      <c r="K4" s="715"/>
      <c r="L4" s="715"/>
      <c r="M4" s="715"/>
      <c r="N4" s="715"/>
      <c r="O4" s="715"/>
      <c r="P4" s="715"/>
      <c r="Q4" s="715"/>
      <c r="R4" s="715"/>
      <c r="S4" s="715"/>
      <c r="T4" s="715"/>
      <c r="U4" s="715"/>
      <c r="V4" s="715"/>
    </row>
    <row r="5" spans="1:22" ht="14.45" customHeight="1" x14ac:dyDescent="0.25">
      <c r="A5" s="666" t="s">
        <v>96</v>
      </c>
      <c r="B5" s="665" t="s">
        <v>110</v>
      </c>
      <c r="C5" s="668" t="s">
        <v>1514</v>
      </c>
      <c r="D5" s="668" t="s">
        <v>1515</v>
      </c>
      <c r="E5" s="668" t="s">
        <v>86</v>
      </c>
      <c r="F5" s="668" t="s">
        <v>390</v>
      </c>
      <c r="G5" s="668" t="s">
        <v>87</v>
      </c>
      <c r="H5" s="671" t="s">
        <v>99</v>
      </c>
      <c r="I5" s="677"/>
      <c r="J5" s="677"/>
      <c r="K5" s="677"/>
      <c r="L5" s="677"/>
      <c r="M5" s="677"/>
      <c r="N5" s="677"/>
      <c r="O5" s="672"/>
      <c r="P5" s="673" t="s">
        <v>100</v>
      </c>
      <c r="Q5" s="674"/>
      <c r="R5" s="665" t="s">
        <v>101</v>
      </c>
      <c r="S5" s="665" t="s">
        <v>102</v>
      </c>
      <c r="T5" s="665" t="s">
        <v>109</v>
      </c>
      <c r="U5" s="665" t="s">
        <v>108</v>
      </c>
      <c r="V5" s="662" t="s">
        <v>88</v>
      </c>
    </row>
    <row r="6" spans="1:22" ht="14.45" customHeight="1" x14ac:dyDescent="0.25">
      <c r="A6" s="666"/>
      <c r="B6" s="666"/>
      <c r="C6" s="669"/>
      <c r="D6" s="669"/>
      <c r="E6" s="669"/>
      <c r="F6" s="669"/>
      <c r="G6" s="669"/>
      <c r="H6" s="671" t="s">
        <v>103</v>
      </c>
      <c r="I6" s="672"/>
      <c r="J6" s="671" t="s">
        <v>104</v>
      </c>
      <c r="K6" s="672"/>
      <c r="L6" s="671" t="s">
        <v>105</v>
      </c>
      <c r="M6" s="672"/>
      <c r="N6" s="671" t="s">
        <v>106</v>
      </c>
      <c r="O6" s="672"/>
      <c r="P6" s="675"/>
      <c r="Q6" s="676"/>
      <c r="R6" s="666"/>
      <c r="S6" s="666"/>
      <c r="T6" s="666"/>
      <c r="U6" s="666"/>
      <c r="V6" s="663"/>
    </row>
    <row r="7" spans="1:22" ht="25.5" x14ac:dyDescent="0.25">
      <c r="A7" s="667"/>
      <c r="B7" s="667"/>
      <c r="C7" s="670"/>
      <c r="D7" s="670"/>
      <c r="E7" s="670"/>
      <c r="F7" s="670"/>
      <c r="G7" s="670"/>
      <c r="H7" s="438" t="s">
        <v>107</v>
      </c>
      <c r="I7" s="438" t="s">
        <v>12</v>
      </c>
      <c r="J7" s="438" t="s">
        <v>107</v>
      </c>
      <c r="K7" s="438" t="s">
        <v>12</v>
      </c>
      <c r="L7" s="438" t="s">
        <v>107</v>
      </c>
      <c r="M7" s="438" t="s">
        <v>12</v>
      </c>
      <c r="N7" s="438" t="s">
        <v>107</v>
      </c>
      <c r="O7" s="438" t="s">
        <v>12</v>
      </c>
      <c r="P7" s="438" t="s">
        <v>107</v>
      </c>
      <c r="Q7" s="438" t="s">
        <v>12</v>
      </c>
      <c r="R7" s="667"/>
      <c r="S7" s="667"/>
      <c r="T7" s="667"/>
      <c r="U7" s="667"/>
      <c r="V7" s="664"/>
    </row>
    <row r="8" spans="1:22" ht="15.6" customHeight="1" x14ac:dyDescent="0.25">
      <c r="A8" s="439"/>
      <c r="B8" s="440"/>
      <c r="C8" s="441"/>
      <c r="D8" s="441"/>
      <c r="E8" s="441"/>
      <c r="F8" s="442"/>
      <c r="G8" s="441"/>
      <c r="H8" s="443"/>
      <c r="I8" s="443"/>
      <c r="J8" s="443"/>
      <c r="K8" s="443"/>
      <c r="L8" s="443"/>
      <c r="M8" s="443"/>
      <c r="N8" s="443"/>
      <c r="O8" s="443"/>
      <c r="P8" s="443"/>
      <c r="Q8" s="443"/>
      <c r="R8" s="444"/>
      <c r="S8" s="444"/>
      <c r="T8" s="444"/>
      <c r="U8" s="444"/>
      <c r="V8" s="445"/>
    </row>
    <row r="9" spans="1:22" ht="15.75" x14ac:dyDescent="0.25">
      <c r="A9" s="716" t="s">
        <v>1422</v>
      </c>
      <c r="B9" s="678" t="s">
        <v>1423</v>
      </c>
      <c r="C9" s="325"/>
      <c r="D9" s="325"/>
      <c r="E9" s="325"/>
      <c r="F9" s="325"/>
      <c r="G9" s="325"/>
      <c r="H9" s="351"/>
      <c r="I9" s="354"/>
      <c r="J9" s="351"/>
      <c r="K9" s="354"/>
      <c r="L9" s="351"/>
      <c r="M9" s="354"/>
      <c r="N9" s="351"/>
      <c r="O9" s="354"/>
      <c r="P9" s="401">
        <f t="shared" ref="P9:Q20" si="0">H9+J9+L9+N9</f>
        <v>0</v>
      </c>
      <c r="Q9" s="399">
        <f t="shared" si="0"/>
        <v>0</v>
      </c>
      <c r="R9" s="325"/>
      <c r="S9" s="325"/>
      <c r="T9" s="325"/>
      <c r="U9" s="325"/>
      <c r="V9" s="325"/>
    </row>
    <row r="10" spans="1:22" ht="15.75" x14ac:dyDescent="0.25">
      <c r="A10" s="717"/>
      <c r="B10" s="679"/>
      <c r="C10" s="325"/>
      <c r="D10" s="325"/>
      <c r="E10" s="325"/>
      <c r="F10" s="325"/>
      <c r="G10" s="325"/>
      <c r="H10" s="351"/>
      <c r="I10" s="354"/>
      <c r="J10" s="351"/>
      <c r="K10" s="354"/>
      <c r="L10" s="351"/>
      <c r="M10" s="354"/>
      <c r="N10" s="351"/>
      <c r="O10" s="354"/>
      <c r="P10" s="401">
        <f t="shared" si="0"/>
        <v>0</v>
      </c>
      <c r="Q10" s="399">
        <f t="shared" si="0"/>
        <v>0</v>
      </c>
      <c r="R10" s="325"/>
      <c r="S10" s="325"/>
      <c r="T10" s="325"/>
      <c r="U10" s="325"/>
      <c r="V10" s="325"/>
    </row>
    <row r="11" spans="1:22" ht="15.75" x14ac:dyDescent="0.25">
      <c r="A11" s="717"/>
      <c r="B11" s="679"/>
      <c r="C11" s="325"/>
      <c r="D11" s="325"/>
      <c r="E11" s="325"/>
      <c r="F11" s="325"/>
      <c r="G11" s="325"/>
      <c r="H11" s="351"/>
      <c r="I11" s="354"/>
      <c r="J11" s="351"/>
      <c r="K11" s="354"/>
      <c r="L11" s="351"/>
      <c r="M11" s="354"/>
      <c r="N11" s="351"/>
      <c r="O11" s="354"/>
      <c r="P11" s="401">
        <f t="shared" si="0"/>
        <v>0</v>
      </c>
      <c r="Q11" s="399">
        <f t="shared" si="0"/>
        <v>0</v>
      </c>
      <c r="R11" s="325"/>
      <c r="S11" s="325"/>
      <c r="T11" s="325"/>
      <c r="U11" s="325"/>
      <c r="V11" s="325"/>
    </row>
    <row r="12" spans="1:22" ht="15.75" x14ac:dyDescent="0.25">
      <c r="A12" s="717"/>
      <c r="B12" s="679"/>
      <c r="C12" s="325"/>
      <c r="D12" s="325"/>
      <c r="E12" s="325"/>
      <c r="F12" s="325"/>
      <c r="G12" s="325"/>
      <c r="H12" s="351"/>
      <c r="I12" s="354"/>
      <c r="J12" s="351"/>
      <c r="K12" s="354"/>
      <c r="L12" s="351"/>
      <c r="M12" s="354"/>
      <c r="N12" s="351"/>
      <c r="O12" s="354"/>
      <c r="P12" s="401">
        <f t="shared" si="0"/>
        <v>0</v>
      </c>
      <c r="Q12" s="399">
        <f t="shared" si="0"/>
        <v>0</v>
      </c>
      <c r="R12" s="325"/>
      <c r="S12" s="325"/>
      <c r="T12" s="325"/>
      <c r="U12" s="325"/>
      <c r="V12" s="72"/>
    </row>
    <row r="13" spans="1:22" ht="15.75" x14ac:dyDescent="0.25">
      <c r="A13" s="717"/>
      <c r="B13" s="679"/>
      <c r="C13" s="325"/>
      <c r="D13" s="325"/>
      <c r="E13" s="325"/>
      <c r="F13" s="325"/>
      <c r="G13" s="277"/>
      <c r="H13" s="357"/>
      <c r="I13" s="354"/>
      <c r="J13" s="357"/>
      <c r="K13" s="354"/>
      <c r="L13" s="357"/>
      <c r="M13" s="354"/>
      <c r="N13" s="357"/>
      <c r="O13" s="354"/>
      <c r="P13" s="401">
        <f t="shared" si="0"/>
        <v>0</v>
      </c>
      <c r="Q13" s="399">
        <f t="shared" si="0"/>
        <v>0</v>
      </c>
      <c r="R13" s="325"/>
      <c r="S13" s="325"/>
      <c r="T13" s="325"/>
      <c r="U13" s="325"/>
      <c r="V13" s="277"/>
    </row>
    <row r="14" spans="1:22" ht="15.75" x14ac:dyDescent="0.25">
      <c r="A14" s="717"/>
      <c r="B14" s="679"/>
      <c r="C14" s="325"/>
      <c r="D14" s="325"/>
      <c r="E14" s="325"/>
      <c r="F14" s="325"/>
      <c r="G14" s="325"/>
      <c r="H14" s="351"/>
      <c r="I14" s="354"/>
      <c r="J14" s="351"/>
      <c r="K14" s="354"/>
      <c r="L14" s="351"/>
      <c r="M14" s="354"/>
      <c r="N14" s="351"/>
      <c r="O14" s="354"/>
      <c r="P14" s="401">
        <f t="shared" si="0"/>
        <v>0</v>
      </c>
      <c r="Q14" s="399">
        <f t="shared" si="0"/>
        <v>0</v>
      </c>
      <c r="R14" s="325"/>
      <c r="S14" s="325"/>
      <c r="T14" s="325"/>
      <c r="U14" s="325"/>
      <c r="V14" s="325"/>
    </row>
    <row r="15" spans="1:22" ht="15.75" x14ac:dyDescent="0.25">
      <c r="A15" s="717"/>
      <c r="B15" s="679"/>
      <c r="C15" s="325"/>
      <c r="D15" s="325"/>
      <c r="E15" s="325"/>
      <c r="F15" s="325"/>
      <c r="G15" s="73"/>
      <c r="H15" s="351"/>
      <c r="I15" s="354"/>
      <c r="J15" s="351"/>
      <c r="K15" s="354"/>
      <c r="L15" s="351"/>
      <c r="M15" s="354"/>
      <c r="N15" s="351"/>
      <c r="O15" s="354"/>
      <c r="P15" s="401">
        <f t="shared" si="0"/>
        <v>0</v>
      </c>
      <c r="Q15" s="399">
        <f t="shared" si="0"/>
        <v>0</v>
      </c>
      <c r="R15" s="325"/>
      <c r="S15" s="325"/>
      <c r="T15" s="325"/>
      <c r="U15" s="325"/>
      <c r="V15" s="325"/>
    </row>
    <row r="16" spans="1:22" ht="15.75" x14ac:dyDescent="0.25">
      <c r="A16" s="717"/>
      <c r="B16" s="679"/>
      <c r="C16" s="325"/>
      <c r="D16" s="325"/>
      <c r="E16" s="325"/>
      <c r="F16" s="325"/>
      <c r="G16" s="325"/>
      <c r="H16" s="351"/>
      <c r="I16" s="354"/>
      <c r="J16" s="351"/>
      <c r="K16" s="354"/>
      <c r="L16" s="351"/>
      <c r="M16" s="354"/>
      <c r="N16" s="351"/>
      <c r="O16" s="354"/>
      <c r="P16" s="401">
        <f t="shared" si="0"/>
        <v>0</v>
      </c>
      <c r="Q16" s="399">
        <f t="shared" si="0"/>
        <v>0</v>
      </c>
      <c r="R16" s="325"/>
      <c r="S16" s="325"/>
      <c r="T16" s="325"/>
      <c r="U16" s="325"/>
      <c r="V16" s="325"/>
    </row>
    <row r="17" spans="1:22" ht="15.75" x14ac:dyDescent="0.25">
      <c r="A17" s="717"/>
      <c r="B17" s="679"/>
      <c r="C17" s="325"/>
      <c r="D17" s="325"/>
      <c r="E17" s="325"/>
      <c r="F17" s="325"/>
      <c r="G17" s="325"/>
      <c r="H17" s="357"/>
      <c r="I17" s="354"/>
      <c r="J17" s="357"/>
      <c r="K17" s="354"/>
      <c r="L17" s="357"/>
      <c r="M17" s="354"/>
      <c r="N17" s="357"/>
      <c r="O17" s="354"/>
      <c r="P17" s="401">
        <f t="shared" si="0"/>
        <v>0</v>
      </c>
      <c r="Q17" s="399">
        <f t="shared" si="0"/>
        <v>0</v>
      </c>
      <c r="R17" s="351"/>
      <c r="S17" s="351"/>
      <c r="T17" s="351"/>
      <c r="U17" s="351"/>
      <c r="V17" s="325"/>
    </row>
    <row r="18" spans="1:22" ht="15.75" x14ac:dyDescent="0.25">
      <c r="A18" s="717"/>
      <c r="B18" s="679"/>
      <c r="C18" s="325"/>
      <c r="D18" s="325"/>
      <c r="E18" s="325"/>
      <c r="F18" s="325"/>
      <c r="G18" s="325"/>
      <c r="H18" s="351"/>
      <c r="I18" s="354"/>
      <c r="J18" s="351"/>
      <c r="K18" s="354"/>
      <c r="L18" s="351"/>
      <c r="M18" s="354"/>
      <c r="N18" s="351"/>
      <c r="O18" s="354"/>
      <c r="P18" s="402">
        <f t="shared" si="0"/>
        <v>0</v>
      </c>
      <c r="Q18" s="403">
        <f t="shared" si="0"/>
        <v>0</v>
      </c>
      <c r="R18" s="325"/>
      <c r="S18" s="325"/>
      <c r="T18" s="325"/>
      <c r="U18" s="325"/>
      <c r="V18" s="325"/>
    </row>
    <row r="19" spans="1:22" ht="15.75" x14ac:dyDescent="0.25">
      <c r="A19" s="717"/>
      <c r="B19" s="679"/>
      <c r="C19" s="325"/>
      <c r="D19" s="325"/>
      <c r="E19" s="325"/>
      <c r="F19" s="325"/>
      <c r="G19" s="325"/>
      <c r="H19" s="351"/>
      <c r="I19" s="354"/>
      <c r="J19" s="351"/>
      <c r="K19" s="354"/>
      <c r="L19" s="351"/>
      <c r="M19" s="354"/>
      <c r="N19" s="351"/>
      <c r="O19" s="354"/>
      <c r="P19" s="402">
        <f t="shared" si="0"/>
        <v>0</v>
      </c>
      <c r="Q19" s="403">
        <f t="shared" si="0"/>
        <v>0</v>
      </c>
      <c r="R19" s="325"/>
      <c r="S19" s="325"/>
      <c r="T19" s="325"/>
      <c r="U19" s="325"/>
      <c r="V19" s="366"/>
    </row>
    <row r="20" spans="1:22" ht="15.75" x14ac:dyDescent="0.25">
      <c r="A20" s="718"/>
      <c r="B20" s="680"/>
      <c r="C20" s="325"/>
      <c r="D20" s="325"/>
      <c r="E20" s="325"/>
      <c r="F20" s="325"/>
      <c r="G20" s="325"/>
      <c r="H20" s="351"/>
      <c r="I20" s="354"/>
      <c r="J20" s="351"/>
      <c r="K20" s="354"/>
      <c r="L20" s="351"/>
      <c r="M20" s="354"/>
      <c r="N20" s="351"/>
      <c r="O20" s="354"/>
      <c r="P20" s="401">
        <f t="shared" si="0"/>
        <v>0</v>
      </c>
      <c r="Q20" s="399">
        <f t="shared" si="0"/>
        <v>0</v>
      </c>
      <c r="R20" s="351"/>
      <c r="S20" s="351"/>
      <c r="T20" s="351"/>
      <c r="U20" s="351"/>
      <c r="V20" s="325"/>
    </row>
    <row r="21" spans="1:22" ht="15.6" customHeight="1" x14ac:dyDescent="0.25">
      <c r="A21" s="300"/>
      <c r="B21" s="242"/>
      <c r="C21" s="300" t="s">
        <v>115</v>
      </c>
      <c r="D21" s="300"/>
      <c r="E21" s="242"/>
      <c r="F21" s="242"/>
      <c r="G21" s="242"/>
      <c r="H21" s="80">
        <f t="shared" ref="H21:Q21" si="1">SUM(H9:H20)</f>
        <v>0</v>
      </c>
      <c r="I21" s="234">
        <f t="shared" si="1"/>
        <v>0</v>
      </c>
      <c r="J21" s="80">
        <f t="shared" si="1"/>
        <v>0</v>
      </c>
      <c r="K21" s="234">
        <f t="shared" si="1"/>
        <v>0</v>
      </c>
      <c r="L21" s="80">
        <f t="shared" si="1"/>
        <v>0</v>
      </c>
      <c r="M21" s="234">
        <f t="shared" si="1"/>
        <v>0</v>
      </c>
      <c r="N21" s="80">
        <f t="shared" si="1"/>
        <v>0</v>
      </c>
      <c r="O21" s="234">
        <f t="shared" si="1"/>
        <v>0</v>
      </c>
      <c r="P21" s="234">
        <f t="shared" si="1"/>
        <v>0</v>
      </c>
      <c r="Q21" s="234">
        <f t="shared" si="1"/>
        <v>0</v>
      </c>
      <c r="R21" s="68"/>
      <c r="S21" s="68"/>
      <c r="T21" s="68"/>
      <c r="U21" s="68"/>
      <c r="V21" s="68"/>
    </row>
    <row r="23" spans="1:22" x14ac:dyDescent="0.25">
      <c r="C23" s="462"/>
    </row>
    <row r="24" spans="1:22" x14ac:dyDescent="0.25">
      <c r="C24" s="462"/>
    </row>
  </sheetData>
  <mergeCells count="21">
    <mergeCell ref="H6:I6"/>
    <mergeCell ref="J6:K6"/>
    <mergeCell ref="L6:M6"/>
    <mergeCell ref="N6:O6"/>
    <mergeCell ref="B9:B20"/>
    <mergeCell ref="A4:V4"/>
    <mergeCell ref="A9:A20"/>
    <mergeCell ref="G5:G7"/>
    <mergeCell ref="E5:E7"/>
    <mergeCell ref="C5:C7"/>
    <mergeCell ref="B5:B7"/>
    <mergeCell ref="A5:A7"/>
    <mergeCell ref="F5:F7"/>
    <mergeCell ref="H5:O5"/>
    <mergeCell ref="R5:R7"/>
    <mergeCell ref="S5:S7"/>
    <mergeCell ref="T5:T7"/>
    <mergeCell ref="U5:U7"/>
    <mergeCell ref="V5:V7"/>
    <mergeCell ref="P5:Q6"/>
    <mergeCell ref="D5:D7"/>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C20">
      <formula1>$C$1:$D$1</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2"/>
  <sheetViews>
    <sheetView workbookViewId="0">
      <pane ySplit="6" topLeftCell="A28" activePane="bottomLeft" state="frozen"/>
      <selection activeCell="R7" sqref="R7"/>
      <selection pane="bottomLeft" activeCell="B19" sqref="B19:B29"/>
    </sheetView>
  </sheetViews>
  <sheetFormatPr baseColWidth="10" defaultRowHeight="15" x14ac:dyDescent="0.25"/>
  <cols>
    <col min="1" max="1" width="34" customWidth="1"/>
    <col min="2" max="2" width="35.7109375" customWidth="1"/>
    <col min="3" max="3" width="27.42578125" customWidth="1"/>
    <col min="4" max="4" width="27.42578125" style="462" customWidth="1"/>
    <col min="5" max="5" width="27.42578125" customWidth="1"/>
    <col min="6" max="6" width="15.7109375" customWidth="1"/>
    <col min="7"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8" ht="18.75" x14ac:dyDescent="0.3">
      <c r="A1" s="723" t="s">
        <v>1343</v>
      </c>
      <c r="B1" s="723"/>
      <c r="C1" s="723"/>
      <c r="D1" s="723"/>
      <c r="E1" s="723"/>
      <c r="F1" s="723"/>
      <c r="G1" s="723"/>
      <c r="H1" s="723"/>
      <c r="I1" s="723"/>
      <c r="J1" s="723"/>
      <c r="K1" s="723"/>
      <c r="L1" s="723"/>
      <c r="M1" s="723"/>
      <c r="N1" s="723"/>
      <c r="O1" s="723"/>
      <c r="P1" s="723"/>
      <c r="Q1" s="723"/>
      <c r="R1" s="723"/>
      <c r="S1" s="723"/>
      <c r="T1" s="723"/>
      <c r="U1" s="723"/>
      <c r="V1" s="502" t="s">
        <v>1668</v>
      </c>
      <c r="W1" s="502" t="s">
        <v>1669</v>
      </c>
      <c r="X1" s="502" t="s">
        <v>1670</v>
      </c>
      <c r="Y1" s="502" t="s">
        <v>1671</v>
      </c>
      <c r="Z1" s="502" t="s">
        <v>1672</v>
      </c>
      <c r="AA1" s="502" t="s">
        <v>1673</v>
      </c>
      <c r="AB1" s="502" t="s">
        <v>1674</v>
      </c>
    </row>
    <row r="2" spans="1:28" x14ac:dyDescent="0.25">
      <c r="A2" s="724" t="s">
        <v>1424</v>
      </c>
      <c r="B2" s="724"/>
      <c r="C2" s="724"/>
      <c r="D2" s="724"/>
      <c r="E2" s="724"/>
      <c r="F2" s="724"/>
      <c r="G2" s="724"/>
      <c r="H2" s="724"/>
      <c r="I2" s="724"/>
      <c r="J2" s="724"/>
      <c r="K2" s="724"/>
      <c r="L2" s="724"/>
      <c r="M2" s="724"/>
      <c r="N2" s="724"/>
      <c r="O2" s="724"/>
      <c r="P2" s="724"/>
      <c r="Q2" s="724"/>
      <c r="R2" s="724"/>
      <c r="S2" s="724"/>
      <c r="T2" s="724"/>
      <c r="U2" s="724"/>
    </row>
    <row r="3" spans="1:28" ht="13.5" customHeight="1" x14ac:dyDescent="0.25">
      <c r="A3" s="312" t="s">
        <v>1425</v>
      </c>
      <c r="B3" s="313"/>
      <c r="C3" s="313"/>
      <c r="D3" s="313"/>
      <c r="E3" s="313"/>
      <c r="F3" s="313"/>
      <c r="G3" s="313"/>
      <c r="H3" s="313"/>
      <c r="I3" s="313"/>
      <c r="J3" s="313"/>
      <c r="K3" s="313"/>
      <c r="L3" s="313"/>
      <c r="M3" s="505" t="s">
        <v>1625</v>
      </c>
      <c r="N3" s="505" t="s">
        <v>1626</v>
      </c>
      <c r="O3" s="505" t="s">
        <v>1627</v>
      </c>
      <c r="P3" s="505" t="s">
        <v>1628</v>
      </c>
      <c r="Q3" s="313"/>
      <c r="R3" s="313"/>
      <c r="S3" s="313"/>
      <c r="T3" s="313"/>
      <c r="U3" s="313"/>
    </row>
    <row r="4" spans="1:28" ht="15" customHeight="1" x14ac:dyDescent="0.25">
      <c r="A4" s="666" t="s">
        <v>96</v>
      </c>
      <c r="B4" s="665" t="s">
        <v>110</v>
      </c>
      <c r="C4" s="668" t="s">
        <v>1514</v>
      </c>
      <c r="D4" s="668" t="s">
        <v>1515</v>
      </c>
      <c r="E4" s="668" t="s">
        <v>86</v>
      </c>
      <c r="F4" s="668" t="s">
        <v>390</v>
      </c>
      <c r="G4" s="668" t="s">
        <v>87</v>
      </c>
      <c r="H4" s="671" t="s">
        <v>99</v>
      </c>
      <c r="I4" s="677"/>
      <c r="J4" s="677"/>
      <c r="K4" s="677"/>
      <c r="L4" s="677"/>
      <c r="M4" s="677"/>
      <c r="N4" s="677"/>
      <c r="O4" s="672"/>
      <c r="P4" s="673" t="s">
        <v>100</v>
      </c>
      <c r="Q4" s="674"/>
      <c r="R4" s="665" t="s">
        <v>102</v>
      </c>
      <c r="S4" s="665" t="s">
        <v>109</v>
      </c>
      <c r="T4" s="665" t="s">
        <v>108</v>
      </c>
      <c r="U4" s="662" t="s">
        <v>88</v>
      </c>
    </row>
    <row r="5" spans="1:28" ht="15" customHeight="1" x14ac:dyDescent="0.25">
      <c r="A5" s="666"/>
      <c r="B5" s="666"/>
      <c r="C5" s="669"/>
      <c r="D5" s="669"/>
      <c r="E5" s="669"/>
      <c r="F5" s="669"/>
      <c r="G5" s="669"/>
      <c r="H5" s="671" t="s">
        <v>103</v>
      </c>
      <c r="I5" s="672"/>
      <c r="J5" s="671" t="s">
        <v>104</v>
      </c>
      <c r="K5" s="672"/>
      <c r="L5" s="671" t="s">
        <v>105</v>
      </c>
      <c r="M5" s="672"/>
      <c r="N5" s="671" t="s">
        <v>106</v>
      </c>
      <c r="O5" s="672"/>
      <c r="P5" s="675"/>
      <c r="Q5" s="676"/>
      <c r="R5" s="666"/>
      <c r="S5" s="666"/>
      <c r="T5" s="666"/>
      <c r="U5" s="663"/>
    </row>
    <row r="6" spans="1:28" ht="25.5" x14ac:dyDescent="0.25">
      <c r="A6" s="667"/>
      <c r="B6" s="667"/>
      <c r="C6" s="670"/>
      <c r="D6" s="670"/>
      <c r="E6" s="670"/>
      <c r="F6" s="670"/>
      <c r="G6" s="670"/>
      <c r="H6" s="438" t="s">
        <v>107</v>
      </c>
      <c r="I6" s="438" t="s">
        <v>12</v>
      </c>
      <c r="J6" s="438" t="s">
        <v>107</v>
      </c>
      <c r="K6" s="438" t="s">
        <v>12</v>
      </c>
      <c r="L6" s="438" t="s">
        <v>107</v>
      </c>
      <c r="M6" s="438" t="s">
        <v>12</v>
      </c>
      <c r="N6" s="438" t="s">
        <v>107</v>
      </c>
      <c r="O6" s="438" t="s">
        <v>12</v>
      </c>
      <c r="P6" s="438" t="s">
        <v>107</v>
      </c>
      <c r="Q6" s="438" t="s">
        <v>12</v>
      </c>
      <c r="R6" s="667"/>
      <c r="S6" s="667"/>
      <c r="T6" s="667"/>
      <c r="U6" s="664"/>
    </row>
    <row r="7" spans="1:28" ht="15.75" x14ac:dyDescent="0.25">
      <c r="A7" s="439"/>
      <c r="B7" s="440"/>
      <c r="C7" s="441"/>
      <c r="D7" s="441"/>
      <c r="E7" s="441"/>
      <c r="F7" s="442"/>
      <c r="G7" s="441"/>
      <c r="H7" s="443"/>
      <c r="I7" s="443"/>
      <c r="J7" s="443"/>
      <c r="K7" s="443"/>
      <c r="L7" s="443"/>
      <c r="M7" s="443"/>
      <c r="N7" s="443"/>
      <c r="O7" s="443"/>
      <c r="P7" s="443"/>
      <c r="Q7" s="443"/>
      <c r="R7" s="444"/>
      <c r="S7" s="444"/>
      <c r="T7" s="444"/>
      <c r="U7" s="445"/>
    </row>
    <row r="8" spans="1:28" ht="15.75" x14ac:dyDescent="0.25">
      <c r="A8" s="681" t="s">
        <v>1507</v>
      </c>
      <c r="B8" s="725" t="s">
        <v>1508</v>
      </c>
      <c r="C8" s="277"/>
      <c r="D8" s="277"/>
      <c r="E8" s="308"/>
      <c r="F8" s="308"/>
      <c r="G8" s="277"/>
      <c r="H8" s="362"/>
      <c r="I8" s="363"/>
      <c r="J8" s="277"/>
      <c r="K8" s="363"/>
      <c r="L8" s="277"/>
      <c r="M8" s="363"/>
      <c r="N8" s="277"/>
      <c r="O8" s="363"/>
      <c r="P8" s="398">
        <f t="shared" ref="P8:Q11" si="0">H8+J8+L8+N8</f>
        <v>0</v>
      </c>
      <c r="Q8" s="399">
        <f t="shared" si="0"/>
        <v>0</v>
      </c>
      <c r="R8" s="277"/>
      <c r="S8" s="277"/>
      <c r="T8" s="277"/>
      <c r="U8" s="277"/>
    </row>
    <row r="9" spans="1:28" s="365" customFormat="1" ht="15.75" x14ac:dyDescent="0.25">
      <c r="A9" s="682"/>
      <c r="B9" s="725"/>
      <c r="C9" s="277"/>
      <c r="D9" s="277"/>
      <c r="E9" s="308"/>
      <c r="F9" s="308"/>
      <c r="G9" s="277"/>
      <c r="H9" s="362"/>
      <c r="I9" s="363"/>
      <c r="J9" s="277"/>
      <c r="K9" s="363"/>
      <c r="L9" s="277"/>
      <c r="M9" s="363"/>
      <c r="N9" s="277"/>
      <c r="O9" s="363"/>
      <c r="P9" s="398">
        <f t="shared" si="0"/>
        <v>0</v>
      </c>
      <c r="Q9" s="399">
        <f t="shared" si="0"/>
        <v>0</v>
      </c>
      <c r="R9" s="277"/>
      <c r="S9" s="277"/>
      <c r="T9" s="277"/>
      <c r="U9" s="277"/>
    </row>
    <row r="10" spans="1:28" s="365" customFormat="1" ht="15.75" x14ac:dyDescent="0.25">
      <c r="A10" s="682"/>
      <c r="B10" s="725"/>
      <c r="C10" s="277"/>
      <c r="D10" s="277"/>
      <c r="E10" s="308"/>
      <c r="F10" s="308"/>
      <c r="G10" s="277"/>
      <c r="H10" s="362"/>
      <c r="I10" s="363"/>
      <c r="J10" s="277"/>
      <c r="K10" s="363"/>
      <c r="L10" s="277"/>
      <c r="M10" s="363"/>
      <c r="N10" s="277"/>
      <c r="O10" s="363"/>
      <c r="P10" s="398">
        <f t="shared" si="0"/>
        <v>0</v>
      </c>
      <c r="Q10" s="399">
        <f t="shared" si="0"/>
        <v>0</v>
      </c>
      <c r="R10" s="277"/>
      <c r="S10" s="277"/>
      <c r="T10" s="277"/>
      <c r="U10" s="277"/>
    </row>
    <row r="11" spans="1:28" s="462" customFormat="1" ht="15.75" x14ac:dyDescent="0.25">
      <c r="A11" s="682"/>
      <c r="B11" s="725"/>
      <c r="C11" s="277"/>
      <c r="D11" s="277"/>
      <c r="E11" s="308"/>
      <c r="F11" s="308"/>
      <c r="G11" s="277"/>
      <c r="H11" s="362"/>
      <c r="I11" s="363"/>
      <c r="J11" s="277"/>
      <c r="K11" s="363"/>
      <c r="L11" s="277"/>
      <c r="M11" s="363"/>
      <c r="N11" s="277"/>
      <c r="O11" s="363"/>
      <c r="P11" s="398">
        <f t="shared" si="0"/>
        <v>0</v>
      </c>
      <c r="Q11" s="399">
        <f t="shared" si="0"/>
        <v>0</v>
      </c>
      <c r="R11" s="277"/>
      <c r="S11" s="277"/>
      <c r="T11" s="277"/>
      <c r="U11" s="277"/>
    </row>
    <row r="12" spans="1:28" s="365" customFormat="1" ht="15.75" x14ac:dyDescent="0.25">
      <c r="A12" s="682"/>
      <c r="B12" s="725"/>
      <c r="C12" s="277"/>
      <c r="D12" s="277"/>
      <c r="E12" s="308"/>
      <c r="F12" s="308"/>
      <c r="G12" s="277"/>
      <c r="H12" s="362"/>
      <c r="I12" s="363"/>
      <c r="J12" s="277"/>
      <c r="K12" s="363"/>
      <c r="L12" s="277"/>
      <c r="M12" s="363"/>
      <c r="N12" s="277"/>
      <c r="O12" s="363"/>
      <c r="P12" s="398">
        <f t="shared" ref="P12:P32" si="1">H12+J12+L12+N12</f>
        <v>0</v>
      </c>
      <c r="Q12" s="399">
        <f t="shared" ref="Q12:Q32" si="2">I12+K12+M12+O12</f>
        <v>0</v>
      </c>
      <c r="R12" s="277"/>
      <c r="S12" s="277"/>
      <c r="T12" s="277"/>
      <c r="U12" s="277"/>
    </row>
    <row r="13" spans="1:28" s="462" customFormat="1" ht="15.75" x14ac:dyDescent="0.25">
      <c r="A13" s="682"/>
      <c r="B13" s="725"/>
      <c r="C13" s="277"/>
      <c r="D13" s="277"/>
      <c r="E13" s="308"/>
      <c r="F13" s="308"/>
      <c r="G13" s="277"/>
      <c r="H13" s="362"/>
      <c r="I13" s="363"/>
      <c r="J13" s="277"/>
      <c r="K13" s="363"/>
      <c r="L13" s="277"/>
      <c r="M13" s="363"/>
      <c r="N13" s="277"/>
      <c r="O13" s="363"/>
      <c r="P13" s="398">
        <f t="shared" si="1"/>
        <v>0</v>
      </c>
      <c r="Q13" s="399">
        <f t="shared" si="2"/>
        <v>0</v>
      </c>
      <c r="R13" s="277"/>
      <c r="S13" s="277"/>
      <c r="T13" s="277"/>
      <c r="U13" s="277"/>
    </row>
    <row r="14" spans="1:28" s="462" customFormat="1" ht="15.75" x14ac:dyDescent="0.25">
      <c r="A14" s="682"/>
      <c r="B14" s="725"/>
      <c r="C14" s="277"/>
      <c r="D14" s="277"/>
      <c r="E14" s="308"/>
      <c r="F14" s="308"/>
      <c r="G14" s="277"/>
      <c r="H14" s="362"/>
      <c r="I14" s="363"/>
      <c r="J14" s="277"/>
      <c r="K14" s="363"/>
      <c r="L14" s="277"/>
      <c r="M14" s="363"/>
      <c r="N14" s="277"/>
      <c r="O14" s="363"/>
      <c r="P14" s="398">
        <f t="shared" si="1"/>
        <v>0</v>
      </c>
      <c r="Q14" s="399">
        <f t="shared" si="2"/>
        <v>0</v>
      </c>
      <c r="R14" s="277"/>
      <c r="S14" s="277"/>
      <c r="T14" s="277"/>
      <c r="U14" s="277"/>
    </row>
    <row r="15" spans="1:28" s="365" customFormat="1" ht="15.75" x14ac:dyDescent="0.25">
      <c r="A15" s="682"/>
      <c r="B15" s="725"/>
      <c r="C15" s="277"/>
      <c r="D15" s="277"/>
      <c r="E15" s="308"/>
      <c r="F15" s="308"/>
      <c r="G15" s="277"/>
      <c r="H15" s="362"/>
      <c r="I15" s="363"/>
      <c r="J15" s="277"/>
      <c r="K15" s="363"/>
      <c r="L15" s="277"/>
      <c r="M15" s="363"/>
      <c r="N15" s="277"/>
      <c r="O15" s="363"/>
      <c r="P15" s="398">
        <f t="shared" si="1"/>
        <v>0</v>
      </c>
      <c r="Q15" s="399">
        <f t="shared" si="2"/>
        <v>0</v>
      </c>
      <c r="R15" s="277"/>
      <c r="S15" s="277"/>
      <c r="T15" s="277"/>
      <c r="U15" s="277"/>
    </row>
    <row r="16" spans="1:28" s="462" customFormat="1" ht="15.75" x14ac:dyDescent="0.25">
      <c r="A16" s="682"/>
      <c r="B16" s="725"/>
      <c r="C16" s="277"/>
      <c r="D16" s="277"/>
      <c r="E16" s="308"/>
      <c r="F16" s="308"/>
      <c r="G16" s="277"/>
      <c r="H16" s="362"/>
      <c r="I16" s="363"/>
      <c r="J16" s="277"/>
      <c r="K16" s="363"/>
      <c r="L16" s="277"/>
      <c r="M16" s="363"/>
      <c r="N16" s="277"/>
      <c r="O16" s="363"/>
      <c r="P16" s="398">
        <f t="shared" si="1"/>
        <v>0</v>
      </c>
      <c r="Q16" s="399">
        <f t="shared" si="2"/>
        <v>0</v>
      </c>
      <c r="R16" s="277"/>
      <c r="S16" s="277"/>
      <c r="T16" s="277"/>
      <c r="U16" s="277"/>
    </row>
    <row r="17" spans="1:21" s="365" customFormat="1" ht="15.75" x14ac:dyDescent="0.25">
      <c r="A17" s="682"/>
      <c r="B17" s="725"/>
      <c r="C17" s="277"/>
      <c r="D17" s="277"/>
      <c r="E17" s="308"/>
      <c r="F17" s="308"/>
      <c r="G17" s="277"/>
      <c r="H17" s="362"/>
      <c r="I17" s="363"/>
      <c r="J17" s="277"/>
      <c r="K17" s="363"/>
      <c r="L17" s="277"/>
      <c r="M17" s="363"/>
      <c r="N17" s="277"/>
      <c r="O17" s="363"/>
      <c r="P17" s="398">
        <f t="shared" si="1"/>
        <v>0</v>
      </c>
      <c r="Q17" s="399">
        <f t="shared" si="2"/>
        <v>0</v>
      </c>
      <c r="R17" s="277"/>
      <c r="S17" s="277"/>
      <c r="T17" s="277"/>
      <c r="U17" s="277"/>
    </row>
    <row r="18" spans="1:21" ht="15.75" x14ac:dyDescent="0.25">
      <c r="A18" s="682"/>
      <c r="B18" s="725"/>
      <c r="C18" s="277"/>
      <c r="D18" s="277"/>
      <c r="E18" s="308"/>
      <c r="F18" s="308"/>
      <c r="G18" s="277"/>
      <c r="H18" s="362"/>
      <c r="I18" s="363"/>
      <c r="J18" s="277"/>
      <c r="K18" s="363"/>
      <c r="L18" s="277"/>
      <c r="M18" s="363"/>
      <c r="N18" s="277"/>
      <c r="O18" s="363"/>
      <c r="P18" s="398">
        <f t="shared" si="1"/>
        <v>0</v>
      </c>
      <c r="Q18" s="399">
        <f t="shared" si="2"/>
        <v>0</v>
      </c>
      <c r="R18" s="277"/>
      <c r="S18" s="277"/>
      <c r="T18" s="277"/>
      <c r="U18" s="277"/>
    </row>
    <row r="19" spans="1:21" ht="15.75" x14ac:dyDescent="0.25">
      <c r="A19" s="682"/>
      <c r="B19" s="719" t="s">
        <v>1509</v>
      </c>
      <c r="C19" s="277"/>
      <c r="D19" s="277"/>
      <c r="E19" s="308"/>
      <c r="F19" s="277"/>
      <c r="G19" s="277"/>
      <c r="H19" s="277"/>
      <c r="I19" s="363"/>
      <c r="J19" s="277"/>
      <c r="K19" s="363"/>
      <c r="L19" s="277"/>
      <c r="M19" s="363"/>
      <c r="N19" s="277"/>
      <c r="O19" s="363"/>
      <c r="P19" s="398">
        <f t="shared" si="1"/>
        <v>0</v>
      </c>
      <c r="Q19" s="399">
        <f t="shared" si="2"/>
        <v>0</v>
      </c>
      <c r="R19" s="277"/>
      <c r="S19" s="277"/>
      <c r="T19" s="277"/>
      <c r="U19" s="277"/>
    </row>
    <row r="20" spans="1:21" ht="15.75" x14ac:dyDescent="0.25">
      <c r="A20" s="682"/>
      <c r="B20" s="719"/>
      <c r="C20" s="277"/>
      <c r="D20" s="277"/>
      <c r="E20" s="308"/>
      <c r="F20" s="277"/>
      <c r="G20" s="277"/>
      <c r="H20" s="362"/>
      <c r="I20" s="363"/>
      <c r="J20" s="277"/>
      <c r="K20" s="363"/>
      <c r="L20" s="277"/>
      <c r="M20" s="363"/>
      <c r="N20" s="277"/>
      <c r="O20" s="363"/>
      <c r="P20" s="398">
        <f t="shared" si="1"/>
        <v>0</v>
      </c>
      <c r="Q20" s="399">
        <f t="shared" si="2"/>
        <v>0</v>
      </c>
      <c r="R20" s="277"/>
      <c r="S20" s="277"/>
      <c r="T20" s="277"/>
      <c r="U20" s="277"/>
    </row>
    <row r="21" spans="1:21" s="365" customFormat="1" ht="15.75" x14ac:dyDescent="0.25">
      <c r="A21" s="682"/>
      <c r="B21" s="719"/>
      <c r="C21" s="277"/>
      <c r="D21" s="277"/>
      <c r="E21" s="308"/>
      <c r="F21" s="277"/>
      <c r="G21" s="277"/>
      <c r="H21" s="362"/>
      <c r="I21" s="363"/>
      <c r="J21" s="277"/>
      <c r="K21" s="363"/>
      <c r="L21" s="277"/>
      <c r="M21" s="363"/>
      <c r="N21" s="277"/>
      <c r="O21" s="363"/>
      <c r="P21" s="398">
        <f t="shared" si="1"/>
        <v>0</v>
      </c>
      <c r="Q21" s="399">
        <f t="shared" si="2"/>
        <v>0</v>
      </c>
      <c r="R21" s="277"/>
      <c r="S21" s="277"/>
      <c r="T21" s="277"/>
      <c r="U21" s="277"/>
    </row>
    <row r="22" spans="1:21" s="365" customFormat="1" ht="15.75" x14ac:dyDescent="0.25">
      <c r="A22" s="682"/>
      <c r="B22" s="719"/>
      <c r="C22" s="277"/>
      <c r="D22" s="277"/>
      <c r="E22" s="308"/>
      <c r="F22" s="277"/>
      <c r="G22" s="277"/>
      <c r="H22" s="362"/>
      <c r="I22" s="363"/>
      <c r="J22" s="277"/>
      <c r="K22" s="363"/>
      <c r="L22" s="277"/>
      <c r="M22" s="363"/>
      <c r="N22" s="277"/>
      <c r="O22" s="363"/>
      <c r="P22" s="398">
        <f t="shared" si="1"/>
        <v>0</v>
      </c>
      <c r="Q22" s="399">
        <f t="shared" si="2"/>
        <v>0</v>
      </c>
      <c r="R22" s="277"/>
      <c r="S22" s="277"/>
      <c r="T22" s="277"/>
      <c r="U22" s="277"/>
    </row>
    <row r="23" spans="1:21" s="365" customFormat="1" ht="15.75" x14ac:dyDescent="0.25">
      <c r="A23" s="682"/>
      <c r="B23" s="719"/>
      <c r="C23" s="277"/>
      <c r="D23" s="277"/>
      <c r="E23" s="308"/>
      <c r="F23" s="277"/>
      <c r="G23" s="277"/>
      <c r="H23" s="362"/>
      <c r="I23" s="363"/>
      <c r="J23" s="277"/>
      <c r="K23" s="363"/>
      <c r="L23" s="277"/>
      <c r="M23" s="363"/>
      <c r="N23" s="277"/>
      <c r="O23" s="363"/>
      <c r="P23" s="398">
        <f t="shared" si="1"/>
        <v>0</v>
      </c>
      <c r="Q23" s="399">
        <f t="shared" si="2"/>
        <v>0</v>
      </c>
      <c r="R23" s="277"/>
      <c r="S23" s="277"/>
      <c r="T23" s="277"/>
      <c r="U23" s="277"/>
    </row>
    <row r="24" spans="1:21" s="365" customFormat="1" ht="15.75" x14ac:dyDescent="0.25">
      <c r="A24" s="682"/>
      <c r="B24" s="719"/>
      <c r="C24" s="277"/>
      <c r="D24" s="277"/>
      <c r="E24" s="308"/>
      <c r="F24" s="277"/>
      <c r="G24" s="277"/>
      <c r="H24" s="362"/>
      <c r="I24" s="363"/>
      <c r="J24" s="277"/>
      <c r="K24" s="363"/>
      <c r="L24" s="277"/>
      <c r="M24" s="363"/>
      <c r="N24" s="277"/>
      <c r="O24" s="363"/>
      <c r="P24" s="398">
        <f t="shared" si="1"/>
        <v>0</v>
      </c>
      <c r="Q24" s="399">
        <f t="shared" si="2"/>
        <v>0</v>
      </c>
      <c r="R24" s="277"/>
      <c r="S24" s="277"/>
      <c r="T24" s="277"/>
      <c r="U24" s="277"/>
    </row>
    <row r="25" spans="1:21" s="365" customFormat="1" ht="15.75" x14ac:dyDescent="0.25">
      <c r="A25" s="682"/>
      <c r="B25" s="719"/>
      <c r="C25" s="277"/>
      <c r="D25" s="277"/>
      <c r="E25" s="308"/>
      <c r="F25" s="277"/>
      <c r="G25" s="277"/>
      <c r="H25" s="362"/>
      <c r="I25" s="363"/>
      <c r="J25" s="277"/>
      <c r="K25" s="363"/>
      <c r="L25" s="277"/>
      <c r="M25" s="363"/>
      <c r="N25" s="277"/>
      <c r="O25" s="363"/>
      <c r="P25" s="398">
        <f t="shared" si="1"/>
        <v>0</v>
      </c>
      <c r="Q25" s="399">
        <f t="shared" si="2"/>
        <v>0</v>
      </c>
      <c r="R25" s="277"/>
      <c r="S25" s="277"/>
      <c r="T25" s="277"/>
      <c r="U25" s="277"/>
    </row>
    <row r="26" spans="1:21" ht="15.75" x14ac:dyDescent="0.25">
      <c r="A26" s="682"/>
      <c r="B26" s="719"/>
      <c r="C26" s="277"/>
      <c r="D26" s="277"/>
      <c r="E26" s="308"/>
      <c r="F26" s="277"/>
      <c r="G26" s="277"/>
      <c r="H26" s="277"/>
      <c r="I26" s="363"/>
      <c r="J26" s="277"/>
      <c r="K26" s="363"/>
      <c r="L26" s="277"/>
      <c r="M26" s="363"/>
      <c r="N26" s="277"/>
      <c r="O26" s="363"/>
      <c r="P26" s="398">
        <f t="shared" si="1"/>
        <v>0</v>
      </c>
      <c r="Q26" s="399">
        <f t="shared" si="2"/>
        <v>0</v>
      </c>
      <c r="R26" s="277"/>
      <c r="S26" s="277"/>
      <c r="T26" s="277"/>
      <c r="U26" s="359"/>
    </row>
    <row r="27" spans="1:21" ht="15.75" x14ac:dyDescent="0.25">
      <c r="A27" s="682"/>
      <c r="B27" s="719"/>
      <c r="C27" s="277"/>
      <c r="D27" s="277"/>
      <c r="E27" s="308"/>
      <c r="F27" s="277"/>
      <c r="G27" s="277"/>
      <c r="H27" s="277"/>
      <c r="I27" s="363"/>
      <c r="J27" s="277"/>
      <c r="K27" s="363"/>
      <c r="L27" s="277"/>
      <c r="M27" s="363"/>
      <c r="N27" s="277"/>
      <c r="O27" s="363"/>
      <c r="P27" s="398">
        <f t="shared" si="1"/>
        <v>0</v>
      </c>
      <c r="Q27" s="399">
        <f t="shared" si="2"/>
        <v>0</v>
      </c>
      <c r="R27" s="277"/>
      <c r="S27" s="277"/>
      <c r="T27" s="277"/>
      <c r="U27" s="359"/>
    </row>
    <row r="28" spans="1:21" ht="15.75" x14ac:dyDescent="0.25">
      <c r="A28" s="682"/>
      <c r="B28" s="719"/>
      <c r="C28" s="277"/>
      <c r="D28" s="277"/>
      <c r="E28" s="308"/>
      <c r="F28" s="277"/>
      <c r="G28" s="277"/>
      <c r="H28" s="277"/>
      <c r="I28" s="363"/>
      <c r="J28" s="277"/>
      <c r="K28" s="363"/>
      <c r="L28" s="277"/>
      <c r="M28" s="363"/>
      <c r="N28" s="277"/>
      <c r="O28" s="363"/>
      <c r="P28" s="398">
        <f t="shared" si="1"/>
        <v>0</v>
      </c>
      <c r="Q28" s="399">
        <f t="shared" si="2"/>
        <v>0</v>
      </c>
      <c r="R28" s="277"/>
      <c r="S28" s="277"/>
      <c r="T28" s="277"/>
      <c r="U28" s="359"/>
    </row>
    <row r="29" spans="1:21" ht="15.75" x14ac:dyDescent="0.25">
      <c r="A29" s="682"/>
      <c r="B29" s="719"/>
      <c r="C29" s="277"/>
      <c r="D29" s="277"/>
      <c r="E29" s="308"/>
      <c r="F29" s="277"/>
      <c r="G29" s="277"/>
      <c r="H29" s="277"/>
      <c r="I29" s="363"/>
      <c r="J29" s="277"/>
      <c r="K29" s="363"/>
      <c r="L29" s="277"/>
      <c r="M29" s="363"/>
      <c r="N29" s="277"/>
      <c r="O29" s="363"/>
      <c r="P29" s="398">
        <f t="shared" si="1"/>
        <v>0</v>
      </c>
      <c r="Q29" s="399">
        <f t="shared" si="2"/>
        <v>0</v>
      </c>
      <c r="R29" s="277"/>
      <c r="S29" s="277"/>
      <c r="T29" s="277"/>
      <c r="U29" s="359"/>
    </row>
    <row r="30" spans="1:21" ht="15.75" x14ac:dyDescent="0.25">
      <c r="A30" s="682"/>
      <c r="B30" s="719" t="s">
        <v>1510</v>
      </c>
      <c r="C30" s="277"/>
      <c r="D30" s="277"/>
      <c r="E30" s="308"/>
      <c r="F30" s="277"/>
      <c r="G30" s="277"/>
      <c r="H30" s="277"/>
      <c r="I30" s="363"/>
      <c r="J30" s="277"/>
      <c r="K30" s="363"/>
      <c r="L30" s="277"/>
      <c r="M30" s="363"/>
      <c r="N30" s="277"/>
      <c r="O30" s="363"/>
      <c r="P30" s="398">
        <f t="shared" si="1"/>
        <v>0</v>
      </c>
      <c r="Q30" s="399">
        <f t="shared" si="2"/>
        <v>0</v>
      </c>
      <c r="R30" s="277"/>
      <c r="S30" s="277"/>
      <c r="T30" s="277"/>
      <c r="U30" s="359"/>
    </row>
    <row r="31" spans="1:21" ht="15.75" x14ac:dyDescent="0.25">
      <c r="A31" s="682"/>
      <c r="B31" s="719"/>
      <c r="C31" s="367"/>
      <c r="D31" s="367"/>
      <c r="E31" s="308"/>
      <c r="F31" s="311"/>
      <c r="G31" s="311"/>
      <c r="H31" s="277"/>
      <c r="I31" s="363"/>
      <c r="J31" s="277"/>
      <c r="K31" s="363"/>
      <c r="L31" s="277"/>
      <c r="M31" s="363"/>
      <c r="N31" s="277"/>
      <c r="O31" s="363"/>
      <c r="P31" s="398">
        <f t="shared" si="1"/>
        <v>0</v>
      </c>
      <c r="Q31" s="399">
        <f t="shared" si="2"/>
        <v>0</v>
      </c>
      <c r="R31" s="277"/>
      <c r="S31" s="277"/>
      <c r="T31" s="277"/>
      <c r="U31" s="359"/>
    </row>
    <row r="32" spans="1:21" s="365" customFormat="1" ht="15.75" x14ac:dyDescent="0.25">
      <c r="A32" s="682"/>
      <c r="B32" s="719"/>
      <c r="C32" s="367"/>
      <c r="D32" s="367"/>
      <c r="E32" s="308"/>
      <c r="F32" s="311"/>
      <c r="G32" s="311"/>
      <c r="H32" s="277"/>
      <c r="I32" s="363"/>
      <c r="J32" s="277"/>
      <c r="K32" s="363"/>
      <c r="L32" s="277"/>
      <c r="M32" s="363"/>
      <c r="N32" s="277"/>
      <c r="O32" s="363"/>
      <c r="P32" s="398">
        <f t="shared" si="1"/>
        <v>0</v>
      </c>
      <c r="Q32" s="399">
        <f t="shared" si="2"/>
        <v>0</v>
      </c>
      <c r="R32" s="277"/>
      <c r="S32" s="277"/>
      <c r="T32" s="277"/>
      <c r="U32" s="359"/>
    </row>
    <row r="33" spans="1:21" s="365" customFormat="1" ht="15.75" x14ac:dyDescent="0.25">
      <c r="A33" s="682"/>
      <c r="B33" s="719"/>
      <c r="C33" s="367"/>
      <c r="D33" s="367"/>
      <c r="E33" s="308"/>
      <c r="F33" s="311"/>
      <c r="G33" s="311"/>
      <c r="H33" s="277"/>
      <c r="I33" s="363"/>
      <c r="J33" s="277"/>
      <c r="K33" s="363"/>
      <c r="L33" s="277"/>
      <c r="M33" s="363"/>
      <c r="N33" s="277"/>
      <c r="O33" s="363"/>
      <c r="P33" s="398">
        <f t="shared" ref="P33:Q35" si="3">H33+J33+L33+N33</f>
        <v>0</v>
      </c>
      <c r="Q33" s="399">
        <f t="shared" si="3"/>
        <v>0</v>
      </c>
      <c r="R33" s="277"/>
      <c r="S33" s="277"/>
      <c r="T33" s="277"/>
      <c r="U33" s="359"/>
    </row>
    <row r="34" spans="1:21" ht="15.75" x14ac:dyDescent="0.25">
      <c r="A34" s="682"/>
      <c r="B34" s="719"/>
      <c r="C34" s="367"/>
      <c r="D34" s="367"/>
      <c r="E34" s="308"/>
      <c r="F34" s="307"/>
      <c r="G34" s="311"/>
      <c r="H34" s="277"/>
      <c r="I34" s="363"/>
      <c r="J34" s="277"/>
      <c r="K34" s="363"/>
      <c r="L34" s="277"/>
      <c r="M34" s="363"/>
      <c r="N34" s="277"/>
      <c r="O34" s="363"/>
      <c r="P34" s="398">
        <f t="shared" si="3"/>
        <v>0</v>
      </c>
      <c r="Q34" s="399">
        <f t="shared" si="3"/>
        <v>0</v>
      </c>
      <c r="R34" s="277"/>
      <c r="S34" s="277"/>
      <c r="T34" s="277"/>
      <c r="U34" s="359"/>
    </row>
    <row r="35" spans="1:21" s="365" customFormat="1" ht="15.75" x14ac:dyDescent="0.25">
      <c r="A35" s="682"/>
      <c r="B35" s="719"/>
      <c r="C35" s="367"/>
      <c r="D35" s="367"/>
      <c r="E35" s="308"/>
      <c r="F35" s="307"/>
      <c r="G35" s="311"/>
      <c r="H35" s="277"/>
      <c r="I35" s="363"/>
      <c r="J35" s="277"/>
      <c r="K35" s="363"/>
      <c r="L35" s="277"/>
      <c r="M35" s="363"/>
      <c r="N35" s="277"/>
      <c r="O35" s="363"/>
      <c r="P35" s="398">
        <f t="shared" si="3"/>
        <v>0</v>
      </c>
      <c r="Q35" s="399">
        <f t="shared" si="3"/>
        <v>0</v>
      </c>
      <c r="R35" s="277"/>
      <c r="S35" s="277"/>
      <c r="T35" s="277"/>
      <c r="U35" s="359"/>
    </row>
    <row r="36" spans="1:21" ht="15.75" x14ac:dyDescent="0.25">
      <c r="A36" s="720" t="s">
        <v>1344</v>
      </c>
      <c r="B36" s="721"/>
      <c r="C36" s="721"/>
      <c r="D36" s="721"/>
      <c r="E36" s="721"/>
      <c r="F36" s="721"/>
      <c r="G36" s="722"/>
      <c r="H36" s="232">
        <f t="shared" ref="H36:Q36" si="4">SUM(H8:H35)</f>
        <v>0</v>
      </c>
      <c r="I36" s="232">
        <f t="shared" si="4"/>
        <v>0</v>
      </c>
      <c r="J36" s="232">
        <f t="shared" si="4"/>
        <v>0</v>
      </c>
      <c r="K36" s="232">
        <f t="shared" si="4"/>
        <v>0</v>
      </c>
      <c r="L36" s="232">
        <f t="shared" si="4"/>
        <v>0</v>
      </c>
      <c r="M36" s="232">
        <f t="shared" si="4"/>
        <v>0</v>
      </c>
      <c r="N36" s="232">
        <f t="shared" si="4"/>
        <v>0</v>
      </c>
      <c r="O36" s="232">
        <f t="shared" si="4"/>
        <v>0</v>
      </c>
      <c r="P36" s="232">
        <f t="shared" si="4"/>
        <v>0</v>
      </c>
      <c r="Q36" s="232">
        <f t="shared" si="4"/>
        <v>0</v>
      </c>
      <c r="R36" s="264"/>
      <c r="S36" s="264"/>
      <c r="T36" s="264"/>
      <c r="U36" s="278"/>
    </row>
    <row r="39" spans="1:21" x14ac:dyDescent="0.25">
      <c r="B39" s="462"/>
    </row>
    <row r="40" spans="1:21" x14ac:dyDescent="0.25">
      <c r="B40" s="462"/>
    </row>
    <row r="41" spans="1:21" x14ac:dyDescent="0.25">
      <c r="B41" s="462"/>
    </row>
    <row r="42" spans="1:21" x14ac:dyDescent="0.25">
      <c r="B42" s="462"/>
    </row>
  </sheetData>
  <mergeCells count="24">
    <mergeCell ref="B19:B29"/>
    <mergeCell ref="B8:B18"/>
    <mergeCell ref="G4:G6"/>
    <mergeCell ref="B4:B6"/>
    <mergeCell ref="C4:C6"/>
    <mergeCell ref="E4:E6"/>
    <mergeCell ref="F4:F6"/>
    <mergeCell ref="D4:D6"/>
    <mergeCell ref="A4:A6"/>
    <mergeCell ref="A8:A35"/>
    <mergeCell ref="B30:B35"/>
    <mergeCell ref="A36:G36"/>
    <mergeCell ref="A1:U1"/>
    <mergeCell ref="A2:U2"/>
    <mergeCell ref="T4:T6"/>
    <mergeCell ref="U4:U6"/>
    <mergeCell ref="H5:I5"/>
    <mergeCell ref="J5:K5"/>
    <mergeCell ref="L5:M5"/>
    <mergeCell ref="N5:O5"/>
    <mergeCell ref="H4:O4"/>
    <mergeCell ref="P4:Q5"/>
    <mergeCell ref="S4:S6"/>
    <mergeCell ref="R4:R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35">
      <formula1>$M$3:$P$3</formula1>
    </dataValidation>
    <dataValidation type="list" allowBlank="1" showInputMessage="1" showErrorMessage="1" sqref="E8:E35">
      <formula1>$V$1:$AA$1</formula1>
    </dataValidation>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37"/>
  <sheetViews>
    <sheetView topLeftCell="N1" zoomScale="115" zoomScaleNormal="115" workbookViewId="0">
      <pane ySplit="8" topLeftCell="A28" activePane="bottomLeft" state="frozen"/>
      <selection activeCell="K7" sqref="K7"/>
      <selection pane="bottomLeft" activeCell="Q28" sqref="Q28"/>
    </sheetView>
  </sheetViews>
  <sheetFormatPr baseColWidth="10" defaultRowHeight="15" x14ac:dyDescent="0.25"/>
  <cols>
    <col min="1" max="1" width="35.7109375" style="561" customWidth="1"/>
    <col min="2" max="2" width="35.85546875" style="561" customWidth="1"/>
    <col min="3" max="4" width="27.42578125" style="561" customWidth="1"/>
    <col min="5" max="5" width="34.7109375" style="561" customWidth="1"/>
    <col min="6" max="6" width="27.42578125" style="561" customWidth="1"/>
    <col min="7" max="7" width="17.85546875" style="561" customWidth="1"/>
    <col min="8" max="8" width="56.28515625" style="561" customWidth="1"/>
    <col min="9" max="9" width="15.28515625" style="561" customWidth="1"/>
    <col min="10" max="10" width="18.5703125" style="612" customWidth="1"/>
    <col min="11" max="11" width="15.28515625" style="561" customWidth="1"/>
    <col min="12" max="12" width="18.85546875" style="612" customWidth="1"/>
    <col min="13" max="13" width="11.42578125" style="561"/>
    <col min="14" max="14" width="14.7109375" style="612" customWidth="1"/>
    <col min="15" max="15" width="11.42578125" style="561"/>
    <col min="16" max="16" width="19.85546875" style="612" customWidth="1"/>
    <col min="17" max="17" width="15.28515625" style="616" customWidth="1"/>
    <col min="18" max="18" width="23.5703125" style="612" customWidth="1"/>
    <col min="19" max="19" width="14.140625" style="561" hidden="1" customWidth="1"/>
    <col min="20" max="20" width="41.85546875" style="561" customWidth="1"/>
    <col min="21" max="21" width="16" style="561" customWidth="1"/>
    <col min="22" max="22" width="18.42578125" style="561" customWidth="1"/>
    <col min="23" max="23" width="17" style="561" customWidth="1"/>
    <col min="24" max="16384" width="11.42578125" style="561"/>
  </cols>
  <sheetData>
    <row r="1" spans="1:29" ht="1.5" customHeight="1" x14ac:dyDescent="0.25">
      <c r="B1" s="561" t="s">
        <v>1629</v>
      </c>
      <c r="C1" s="561" t="s">
        <v>1630</v>
      </c>
      <c r="E1" s="561" t="s">
        <v>1631</v>
      </c>
      <c r="F1" s="561" t="s">
        <v>1632</v>
      </c>
      <c r="G1" s="726" t="s">
        <v>1354</v>
      </c>
      <c r="H1" s="726"/>
      <c r="I1" s="726"/>
      <c r="J1" s="726"/>
      <c r="K1" s="726"/>
      <c r="L1" s="726"/>
      <c r="M1" s="726"/>
      <c r="N1" s="726"/>
      <c r="O1" s="581"/>
      <c r="P1" s="609"/>
      <c r="Q1" s="613"/>
      <c r="R1" s="609"/>
      <c r="S1" s="581"/>
      <c r="T1" s="581"/>
      <c r="U1" s="581"/>
      <c r="V1" s="581"/>
      <c r="W1" s="581"/>
      <c r="X1" s="581"/>
      <c r="Y1" s="581"/>
      <c r="Z1" s="581"/>
      <c r="AA1" s="581"/>
      <c r="AB1" s="581"/>
      <c r="AC1" s="581"/>
    </row>
    <row r="2" spans="1:29" ht="18.75" hidden="1" x14ac:dyDescent="0.25">
      <c r="A2" s="561" t="s">
        <v>1353</v>
      </c>
      <c r="I2" s="581"/>
      <c r="K2" s="581"/>
      <c r="L2" s="609"/>
      <c r="M2" s="581"/>
      <c r="N2" s="609"/>
      <c r="O2" s="581"/>
      <c r="P2" s="609"/>
      <c r="Q2" s="613"/>
      <c r="R2" s="609"/>
      <c r="S2" s="581"/>
      <c r="T2" s="581"/>
      <c r="U2" s="581"/>
      <c r="V2" s="581"/>
      <c r="W2" s="581"/>
      <c r="X2" s="581"/>
      <c r="Y2" s="581"/>
      <c r="Z2" s="581"/>
      <c r="AA2" s="581"/>
      <c r="AB2" s="581"/>
      <c r="AC2" s="581"/>
    </row>
    <row r="3" spans="1:29" ht="18.75" hidden="1" x14ac:dyDescent="0.25">
      <c r="A3" s="561" t="s">
        <v>1426</v>
      </c>
      <c r="I3" s="581"/>
      <c r="K3" s="581"/>
      <c r="L3" s="609"/>
      <c r="M3" s="581"/>
      <c r="N3" s="609"/>
      <c r="O3" s="581"/>
      <c r="P3" s="609"/>
      <c r="Q3" s="613"/>
      <c r="R3" s="609"/>
      <c r="S3" s="581"/>
      <c r="T3" s="581"/>
      <c r="U3" s="581"/>
      <c r="V3" s="581"/>
      <c r="W3" s="581"/>
      <c r="X3" s="581"/>
      <c r="Y3" s="581"/>
      <c r="Z3" s="581"/>
      <c r="AA3" s="581"/>
      <c r="AB3" s="581"/>
      <c r="AC3" s="581"/>
    </row>
    <row r="4" spans="1:29" ht="18.75" hidden="1" x14ac:dyDescent="0.25">
      <c r="A4" s="561" t="s">
        <v>1427</v>
      </c>
      <c r="I4" s="581"/>
      <c r="K4" s="581"/>
      <c r="L4" s="609"/>
      <c r="M4" s="581"/>
      <c r="N4" s="609"/>
      <c r="O4" s="581"/>
      <c r="P4" s="609"/>
      <c r="Q4" s="613"/>
      <c r="R4" s="609"/>
      <c r="S4" s="581"/>
      <c r="T4" s="581"/>
      <c r="U4" s="581"/>
      <c r="V4" s="581"/>
      <c r="W4" s="581"/>
      <c r="X4" s="581"/>
      <c r="Y4" s="581"/>
      <c r="Z4" s="581"/>
      <c r="AA4" s="581"/>
      <c r="AB4" s="581"/>
      <c r="AC4" s="581"/>
    </row>
    <row r="5" spans="1:29" ht="18.75" hidden="1" customHeight="1" x14ac:dyDescent="0.25">
      <c r="A5" s="727" t="s">
        <v>1428</v>
      </c>
      <c r="B5" s="728"/>
      <c r="C5" s="728"/>
      <c r="D5" s="728"/>
      <c r="E5" s="728"/>
      <c r="F5" s="728"/>
      <c r="G5" s="728"/>
      <c r="H5" s="728"/>
      <c r="I5" s="728"/>
      <c r="J5" s="728"/>
      <c r="K5" s="728"/>
      <c r="L5" s="728"/>
      <c r="M5" s="728"/>
      <c r="N5" s="728"/>
      <c r="O5" s="728"/>
      <c r="P5" s="728"/>
      <c r="Q5" s="728"/>
      <c r="R5" s="728"/>
      <c r="S5" s="728"/>
      <c r="T5" s="728"/>
      <c r="U5" s="728"/>
      <c r="V5" s="728"/>
      <c r="W5" s="728"/>
    </row>
    <row r="6" spans="1:29" ht="15" customHeight="1" x14ac:dyDescent="0.25">
      <c r="A6" s="666" t="s">
        <v>96</v>
      </c>
      <c r="B6" s="665" t="s">
        <v>110</v>
      </c>
      <c r="C6" s="668" t="s">
        <v>1514</v>
      </c>
      <c r="D6" s="668" t="s">
        <v>1515</v>
      </c>
      <c r="E6" s="668" t="s">
        <v>1515</v>
      </c>
      <c r="F6" s="668" t="s">
        <v>86</v>
      </c>
      <c r="G6" s="668" t="s">
        <v>390</v>
      </c>
      <c r="H6" s="668" t="s">
        <v>87</v>
      </c>
      <c r="I6" s="671" t="s">
        <v>99</v>
      </c>
      <c r="J6" s="677"/>
      <c r="K6" s="677"/>
      <c r="L6" s="677"/>
      <c r="M6" s="677"/>
      <c r="N6" s="677"/>
      <c r="O6" s="677"/>
      <c r="P6" s="672"/>
      <c r="Q6" s="673" t="s">
        <v>100</v>
      </c>
      <c r="R6" s="674"/>
      <c r="S6" s="665" t="s">
        <v>101</v>
      </c>
      <c r="T6" s="665" t="s">
        <v>102</v>
      </c>
      <c r="U6" s="665" t="s">
        <v>109</v>
      </c>
      <c r="V6" s="665" t="s">
        <v>108</v>
      </c>
      <c r="W6" s="662" t="s">
        <v>88</v>
      </c>
    </row>
    <row r="7" spans="1:29" ht="15" customHeight="1" x14ac:dyDescent="0.25">
      <c r="A7" s="666"/>
      <c r="B7" s="666"/>
      <c r="C7" s="669"/>
      <c r="D7" s="669"/>
      <c r="E7" s="669"/>
      <c r="F7" s="669"/>
      <c r="G7" s="669"/>
      <c r="H7" s="669"/>
      <c r="I7" s="671" t="s">
        <v>103</v>
      </c>
      <c r="J7" s="672"/>
      <c r="K7" s="671" t="s">
        <v>104</v>
      </c>
      <c r="L7" s="672"/>
      <c r="M7" s="671" t="s">
        <v>105</v>
      </c>
      <c r="N7" s="672"/>
      <c r="O7" s="671" t="s">
        <v>106</v>
      </c>
      <c r="P7" s="672"/>
      <c r="Q7" s="675"/>
      <c r="R7" s="676"/>
      <c r="S7" s="666"/>
      <c r="T7" s="666"/>
      <c r="U7" s="666"/>
      <c r="V7" s="666"/>
      <c r="W7" s="663"/>
    </row>
    <row r="8" spans="1:29" ht="25.5" x14ac:dyDescent="0.25">
      <c r="A8" s="667"/>
      <c r="B8" s="667"/>
      <c r="C8" s="670"/>
      <c r="D8" s="670"/>
      <c r="E8" s="670"/>
      <c r="F8" s="670"/>
      <c r="G8" s="670"/>
      <c r="H8" s="670"/>
      <c r="I8" s="438" t="s">
        <v>107</v>
      </c>
      <c r="J8" s="631" t="s">
        <v>12</v>
      </c>
      <c r="K8" s="438" t="s">
        <v>107</v>
      </c>
      <c r="L8" s="631" t="s">
        <v>12</v>
      </c>
      <c r="M8" s="438" t="s">
        <v>107</v>
      </c>
      <c r="N8" s="631" t="s">
        <v>12</v>
      </c>
      <c r="O8" s="438" t="s">
        <v>107</v>
      </c>
      <c r="P8" s="631" t="s">
        <v>12</v>
      </c>
      <c r="Q8" s="632" t="s">
        <v>107</v>
      </c>
      <c r="R8" s="631" t="s">
        <v>12</v>
      </c>
      <c r="S8" s="667"/>
      <c r="T8" s="667"/>
      <c r="U8" s="667"/>
      <c r="V8" s="667"/>
      <c r="W8" s="664"/>
    </row>
    <row r="9" spans="1:29" ht="15.75" x14ac:dyDescent="0.25">
      <c r="A9" s="582"/>
      <c r="B9" s="583"/>
      <c r="C9" s="584"/>
      <c r="D9" s="584"/>
      <c r="E9" s="584"/>
      <c r="F9" s="584"/>
      <c r="G9" s="584"/>
      <c r="H9" s="584"/>
      <c r="I9" s="585"/>
      <c r="J9" s="610"/>
      <c r="K9" s="585"/>
      <c r="L9" s="610"/>
      <c r="M9" s="585"/>
      <c r="N9" s="610"/>
      <c r="O9" s="585"/>
      <c r="P9" s="610"/>
      <c r="Q9" s="614"/>
      <c r="R9" s="610"/>
      <c r="S9" s="586"/>
      <c r="T9" s="586"/>
      <c r="U9" s="586"/>
      <c r="V9" s="586"/>
      <c r="W9" s="587"/>
    </row>
    <row r="10" spans="1:29" ht="264.75" customHeight="1" x14ac:dyDescent="0.25">
      <c r="A10" s="729" t="s">
        <v>1430</v>
      </c>
      <c r="B10" s="729" t="s">
        <v>1429</v>
      </c>
      <c r="C10" s="703" t="s">
        <v>1630</v>
      </c>
      <c r="D10" s="703" t="s">
        <v>1767</v>
      </c>
      <c r="E10" s="543" t="s">
        <v>1768</v>
      </c>
      <c r="F10" s="543" t="s">
        <v>1769</v>
      </c>
      <c r="G10" s="543" t="s">
        <v>1770</v>
      </c>
      <c r="H10" s="543" t="s">
        <v>1914</v>
      </c>
      <c r="I10" s="545">
        <v>0.28999999999999998</v>
      </c>
      <c r="J10" s="559">
        <f>R10*0.29</f>
        <v>167910</v>
      </c>
      <c r="K10" s="545">
        <v>0.71</v>
      </c>
      <c r="L10" s="559">
        <f>R10*0.71</f>
        <v>411090</v>
      </c>
      <c r="M10" s="545">
        <v>0</v>
      </c>
      <c r="N10" s="559">
        <v>0</v>
      </c>
      <c r="O10" s="545">
        <v>0</v>
      </c>
      <c r="P10" s="559">
        <v>0</v>
      </c>
      <c r="Q10" s="608">
        <f>I10+K10+M10+O10</f>
        <v>1</v>
      </c>
      <c r="R10" s="617">
        <f>'3. EQUIPO DE OFICINA'!D10+'5. ACTIVIDADES ESPECIALES'!D129</f>
        <v>579000</v>
      </c>
      <c r="S10" s="543"/>
      <c r="T10" s="543" t="s">
        <v>1778</v>
      </c>
      <c r="U10" s="543" t="s">
        <v>1780</v>
      </c>
      <c r="V10" s="543" t="s">
        <v>1781</v>
      </c>
      <c r="W10" s="543" t="s">
        <v>1782</v>
      </c>
    </row>
    <row r="11" spans="1:29" ht="107.25" customHeight="1" x14ac:dyDescent="0.25">
      <c r="A11" s="730"/>
      <c r="B11" s="730"/>
      <c r="C11" s="704"/>
      <c r="D11" s="704"/>
      <c r="E11" s="543" t="s">
        <v>1772</v>
      </c>
      <c r="F11" s="544" t="s">
        <v>1935</v>
      </c>
      <c r="G11" s="543" t="s">
        <v>1771</v>
      </c>
      <c r="H11" s="543" t="s">
        <v>1776</v>
      </c>
      <c r="I11" s="640">
        <v>1</v>
      </c>
      <c r="J11" s="559">
        <f>R11*0.25</f>
        <v>23943.75</v>
      </c>
      <c r="K11" s="640">
        <v>1</v>
      </c>
      <c r="L11" s="559">
        <f>R11*0.25</f>
        <v>23943.75</v>
      </c>
      <c r="M11" s="640">
        <v>1</v>
      </c>
      <c r="N11" s="559">
        <f>R11*0.25</f>
        <v>23943.75</v>
      </c>
      <c r="O11" s="640">
        <v>1</v>
      </c>
      <c r="P11" s="559">
        <f>R11*0.25</f>
        <v>23943.75</v>
      </c>
      <c r="Q11" s="608">
        <v>1</v>
      </c>
      <c r="R11" s="617">
        <f>'5. ACTIVIDADES ESPECIALES'!D173</f>
        <v>95775</v>
      </c>
      <c r="S11" s="543"/>
      <c r="T11" s="544" t="s">
        <v>1779</v>
      </c>
      <c r="U11" s="543" t="s">
        <v>1780</v>
      </c>
      <c r="V11" s="543" t="s">
        <v>1783</v>
      </c>
      <c r="W11" s="543" t="s">
        <v>1784</v>
      </c>
    </row>
    <row r="12" spans="1:29" ht="102.75" customHeight="1" x14ac:dyDescent="0.25">
      <c r="A12" s="730"/>
      <c r="B12" s="730"/>
      <c r="C12" s="704"/>
      <c r="D12" s="704"/>
      <c r="E12" s="543" t="s">
        <v>1773</v>
      </c>
      <c r="F12" s="543" t="s">
        <v>1774</v>
      </c>
      <c r="G12" s="543" t="s">
        <v>1775</v>
      </c>
      <c r="H12" s="543" t="s">
        <v>1777</v>
      </c>
      <c r="I12" s="545">
        <v>0</v>
      </c>
      <c r="J12" s="559">
        <v>0</v>
      </c>
      <c r="K12" s="545">
        <v>1</v>
      </c>
      <c r="L12" s="559">
        <f>R12</f>
        <v>1500</v>
      </c>
      <c r="M12" s="545">
        <v>0</v>
      </c>
      <c r="N12" s="559">
        <v>0</v>
      </c>
      <c r="O12" s="545">
        <v>0</v>
      </c>
      <c r="P12" s="559">
        <v>0</v>
      </c>
      <c r="Q12" s="608">
        <f t="shared" ref="Q12:Q29" si="0">I12+K12+M12+O12</f>
        <v>1</v>
      </c>
      <c r="R12" s="617">
        <f>'5. ACTIVIDADES ESPECIALES'!D218</f>
        <v>1500</v>
      </c>
      <c r="S12" s="543"/>
      <c r="T12" s="543" t="s">
        <v>1773</v>
      </c>
      <c r="U12" s="543" t="s">
        <v>1780</v>
      </c>
      <c r="V12" s="543" t="s">
        <v>1786</v>
      </c>
      <c r="W12" s="543" t="s">
        <v>1785</v>
      </c>
    </row>
    <row r="13" spans="1:29" ht="78.75" customHeight="1" x14ac:dyDescent="0.25">
      <c r="A13" s="730"/>
      <c r="B13" s="731"/>
      <c r="C13" s="704"/>
      <c r="D13" s="732"/>
      <c r="E13" s="543" t="s">
        <v>1788</v>
      </c>
      <c r="F13" s="543" t="s">
        <v>1789</v>
      </c>
      <c r="G13" s="543" t="s">
        <v>1790</v>
      </c>
      <c r="H13" s="543" t="s">
        <v>1791</v>
      </c>
      <c r="I13" s="545">
        <v>0</v>
      </c>
      <c r="J13" s="559">
        <v>0</v>
      </c>
      <c r="K13" s="545">
        <v>1</v>
      </c>
      <c r="L13" s="559">
        <f>R12</f>
        <v>1500</v>
      </c>
      <c r="M13" s="545">
        <v>0</v>
      </c>
      <c r="N13" s="559">
        <v>0</v>
      </c>
      <c r="O13" s="545">
        <v>0</v>
      </c>
      <c r="P13" s="559">
        <v>0</v>
      </c>
      <c r="Q13" s="608">
        <f t="shared" si="0"/>
        <v>1</v>
      </c>
      <c r="R13" s="617">
        <f>'5. ACTIVIDADES ESPECIALES'!D262</f>
        <v>1500</v>
      </c>
      <c r="S13" s="543"/>
      <c r="T13" s="543" t="s">
        <v>1788</v>
      </c>
      <c r="U13" s="543" t="s">
        <v>1780</v>
      </c>
      <c r="V13" s="543" t="s">
        <v>1786</v>
      </c>
      <c r="W13" s="543" t="s">
        <v>1858</v>
      </c>
    </row>
    <row r="14" spans="1:29" ht="126" customHeight="1" x14ac:dyDescent="0.25">
      <c r="A14" s="730"/>
      <c r="B14" s="735" t="s">
        <v>1787</v>
      </c>
      <c r="C14" s="704"/>
      <c r="D14" s="703" t="s">
        <v>1794</v>
      </c>
      <c r="E14" s="543" t="s">
        <v>1792</v>
      </c>
      <c r="F14" s="544" t="s">
        <v>1946</v>
      </c>
      <c r="G14" s="543" t="s">
        <v>1796</v>
      </c>
      <c r="H14" s="543" t="s">
        <v>1800</v>
      </c>
      <c r="I14" s="639">
        <f>30/4</f>
        <v>7.5</v>
      </c>
      <c r="J14" s="559">
        <v>0</v>
      </c>
      <c r="K14" s="639">
        <f>30/4</f>
        <v>7.5</v>
      </c>
      <c r="L14" s="559">
        <v>0</v>
      </c>
      <c r="M14" s="639">
        <f>30/4</f>
        <v>7.5</v>
      </c>
      <c r="N14" s="559">
        <v>0</v>
      </c>
      <c r="O14" s="639">
        <f>30/4</f>
        <v>7.5</v>
      </c>
      <c r="P14" s="559">
        <v>0</v>
      </c>
      <c r="Q14" s="639">
        <v>30</v>
      </c>
      <c r="R14" s="617">
        <f t="shared" ref="R14:R29" si="1">J14+L14+N14+P14</f>
        <v>0</v>
      </c>
      <c r="S14" s="543"/>
      <c r="T14" s="543" t="s">
        <v>1915</v>
      </c>
      <c r="U14" s="543" t="s">
        <v>1801</v>
      </c>
      <c r="V14" s="543" t="s">
        <v>1803</v>
      </c>
      <c r="W14" s="543" t="s">
        <v>1806</v>
      </c>
    </row>
    <row r="15" spans="1:29" ht="110.25" x14ac:dyDescent="0.25">
      <c r="A15" s="730"/>
      <c r="B15" s="736"/>
      <c r="C15" s="704"/>
      <c r="D15" s="704"/>
      <c r="E15" s="543" t="s">
        <v>1793</v>
      </c>
      <c r="F15" s="544" t="s">
        <v>1947</v>
      </c>
      <c r="G15" s="543" t="s">
        <v>1797</v>
      </c>
      <c r="H15" s="543" t="s">
        <v>1799</v>
      </c>
      <c r="I15" s="639">
        <f>16/4</f>
        <v>4</v>
      </c>
      <c r="J15" s="559">
        <v>0</v>
      </c>
      <c r="K15" s="639">
        <f>16/4</f>
        <v>4</v>
      </c>
      <c r="L15" s="559">
        <v>0</v>
      </c>
      <c r="M15" s="639">
        <f>16/4</f>
        <v>4</v>
      </c>
      <c r="N15" s="559">
        <v>0</v>
      </c>
      <c r="O15" s="639">
        <f>16/4</f>
        <v>4</v>
      </c>
      <c r="P15" s="559">
        <v>0</v>
      </c>
      <c r="Q15" s="639">
        <v>16</v>
      </c>
      <c r="R15" s="617">
        <f t="shared" si="1"/>
        <v>0</v>
      </c>
      <c r="S15" s="543"/>
      <c r="T15" s="543" t="s">
        <v>1916</v>
      </c>
      <c r="U15" s="543" t="s">
        <v>1802</v>
      </c>
      <c r="V15" s="543" t="s">
        <v>1803</v>
      </c>
      <c r="W15" s="543" t="s">
        <v>1805</v>
      </c>
    </row>
    <row r="16" spans="1:29" ht="97.5" customHeight="1" x14ac:dyDescent="0.25">
      <c r="A16" s="730"/>
      <c r="B16" s="736"/>
      <c r="C16" s="704"/>
      <c r="D16" s="732"/>
      <c r="E16" s="543" t="s">
        <v>1795</v>
      </c>
      <c r="F16" s="544" t="s">
        <v>1948</v>
      </c>
      <c r="G16" s="543" t="s">
        <v>1798</v>
      </c>
      <c r="H16" s="543" t="s">
        <v>1918</v>
      </c>
      <c r="I16" s="639">
        <v>0</v>
      </c>
      <c r="J16" s="559">
        <v>0</v>
      </c>
      <c r="K16" s="639">
        <v>0</v>
      </c>
      <c r="L16" s="559">
        <v>0</v>
      </c>
      <c r="M16" s="639">
        <v>7</v>
      </c>
      <c r="N16" s="559">
        <v>0</v>
      </c>
      <c r="O16" s="639">
        <v>0</v>
      </c>
      <c r="P16" s="559">
        <v>0</v>
      </c>
      <c r="Q16" s="639">
        <v>7</v>
      </c>
      <c r="R16" s="617">
        <f t="shared" si="1"/>
        <v>0</v>
      </c>
      <c r="S16" s="543"/>
      <c r="T16" s="543" t="s">
        <v>1917</v>
      </c>
      <c r="U16" s="543" t="s">
        <v>1802</v>
      </c>
      <c r="V16" s="543" t="s">
        <v>1804</v>
      </c>
      <c r="W16" s="543" t="s">
        <v>1932</v>
      </c>
    </row>
    <row r="17" spans="1:23" ht="132" customHeight="1" x14ac:dyDescent="0.25">
      <c r="A17" s="730"/>
      <c r="B17" s="736"/>
      <c r="C17" s="704"/>
      <c r="D17" s="703" t="s">
        <v>1807</v>
      </c>
      <c r="E17" s="543" t="s">
        <v>1921</v>
      </c>
      <c r="F17" s="543" t="s">
        <v>1920</v>
      </c>
      <c r="G17" s="543" t="s">
        <v>1812</v>
      </c>
      <c r="H17" s="543" t="s">
        <v>1919</v>
      </c>
      <c r="I17" s="618">
        <v>3</v>
      </c>
      <c r="J17" s="559">
        <f>R17*0.375</f>
        <v>26737.5</v>
      </c>
      <c r="K17" s="618">
        <v>2</v>
      </c>
      <c r="L17" s="559">
        <f>R17*0.25</f>
        <v>17825</v>
      </c>
      <c r="M17" s="545">
        <v>0</v>
      </c>
      <c r="N17" s="559">
        <v>0</v>
      </c>
      <c r="O17" s="618">
        <v>3</v>
      </c>
      <c r="P17" s="559">
        <f>R17*0.375</f>
        <v>26737.5</v>
      </c>
      <c r="Q17" s="618">
        <v>8</v>
      </c>
      <c r="R17" s="617">
        <f>'5. ACTIVIDADES ESPECIALES'!D306</f>
        <v>71300</v>
      </c>
      <c r="S17" s="543"/>
      <c r="T17" s="543" t="s">
        <v>1931</v>
      </c>
      <c r="U17" s="543" t="s">
        <v>1930</v>
      </c>
      <c r="V17" s="543" t="s">
        <v>1929</v>
      </c>
      <c r="W17" s="543" t="s">
        <v>1928</v>
      </c>
    </row>
    <row r="18" spans="1:23" ht="93.75" customHeight="1" x14ac:dyDescent="0.25">
      <c r="A18" s="730"/>
      <c r="B18" s="736"/>
      <c r="C18" s="704"/>
      <c r="D18" s="704"/>
      <c r="E18" s="544" t="s">
        <v>1845</v>
      </c>
      <c r="F18" s="544" t="s">
        <v>1922</v>
      </c>
      <c r="G18" s="544" t="s">
        <v>1813</v>
      </c>
      <c r="H18" s="544" t="s">
        <v>1815</v>
      </c>
      <c r="I18" s="623">
        <v>0</v>
      </c>
      <c r="J18" s="624">
        <v>0</v>
      </c>
      <c r="K18" s="623">
        <v>2</v>
      </c>
      <c r="L18" s="624">
        <f>R18*0.5</f>
        <v>11750</v>
      </c>
      <c r="M18" s="623">
        <v>2</v>
      </c>
      <c r="N18" s="624">
        <f>R18*0.5</f>
        <v>11750</v>
      </c>
      <c r="O18" s="623">
        <v>0</v>
      </c>
      <c r="P18" s="624">
        <v>0</v>
      </c>
      <c r="Q18" s="623">
        <v>4</v>
      </c>
      <c r="R18" s="617">
        <f>'5. ACTIVIDADES ESPECIALES'!D350</f>
        <v>23500</v>
      </c>
      <c r="S18" s="544"/>
      <c r="T18" s="544" t="s">
        <v>1844</v>
      </c>
      <c r="U18" s="543" t="s">
        <v>1927</v>
      </c>
      <c r="V18" s="543" t="s">
        <v>1848</v>
      </c>
      <c r="W18" s="543" t="s">
        <v>1928</v>
      </c>
    </row>
    <row r="19" spans="1:23" ht="93.75" customHeight="1" x14ac:dyDescent="0.25">
      <c r="A19" s="730"/>
      <c r="B19" s="736"/>
      <c r="C19" s="704"/>
      <c r="D19" s="704"/>
      <c r="E19" s="544" t="s">
        <v>1904</v>
      </c>
      <c r="F19" s="544" t="s">
        <v>1811</v>
      </c>
      <c r="G19" s="544" t="s">
        <v>1814</v>
      </c>
      <c r="H19" s="544" t="s">
        <v>1903</v>
      </c>
      <c r="I19" s="623">
        <v>0</v>
      </c>
      <c r="J19" s="624">
        <v>0</v>
      </c>
      <c r="K19" s="623">
        <v>100</v>
      </c>
      <c r="L19" s="624">
        <f>R19</f>
        <v>56675.322249999997</v>
      </c>
      <c r="M19" s="623">
        <v>0</v>
      </c>
      <c r="N19" s="624">
        <v>0</v>
      </c>
      <c r="O19" s="623">
        <v>0</v>
      </c>
      <c r="P19" s="624">
        <v>0</v>
      </c>
      <c r="Q19" s="628">
        <v>1</v>
      </c>
      <c r="R19" s="617">
        <f>'5. ACTIVIDADES ESPECIALES'!D570</f>
        <v>56675.322249999997</v>
      </c>
      <c r="S19" s="544"/>
      <c r="T19" s="544" t="s">
        <v>1905</v>
      </c>
      <c r="U19" s="544" t="s">
        <v>1906</v>
      </c>
      <c r="V19" s="544" t="s">
        <v>1907</v>
      </c>
      <c r="W19" s="544" t="s">
        <v>1908</v>
      </c>
    </row>
    <row r="20" spans="1:23" ht="81" customHeight="1" x14ac:dyDescent="0.25">
      <c r="A20" s="730"/>
      <c r="B20" s="736"/>
      <c r="C20" s="704"/>
      <c r="D20" s="732"/>
      <c r="E20" s="543" t="s">
        <v>1808</v>
      </c>
      <c r="F20" s="543" t="s">
        <v>1811</v>
      </c>
      <c r="G20" s="543" t="s">
        <v>1902</v>
      </c>
      <c r="H20" s="543" t="s">
        <v>1816</v>
      </c>
      <c r="I20" s="545">
        <v>0</v>
      </c>
      <c r="J20" s="559">
        <v>0</v>
      </c>
      <c r="K20" s="545">
        <v>0</v>
      </c>
      <c r="L20" s="559">
        <v>0</v>
      </c>
      <c r="M20" s="545">
        <v>1</v>
      </c>
      <c r="N20" s="559">
        <f>R20</f>
        <v>536000</v>
      </c>
      <c r="O20" s="545">
        <v>0</v>
      </c>
      <c r="P20" s="559">
        <v>0</v>
      </c>
      <c r="Q20" s="608">
        <f t="shared" si="0"/>
        <v>1</v>
      </c>
      <c r="R20" s="617">
        <f>'5. ACTIVIDADES ESPECIALES'!D394</f>
        <v>536000</v>
      </c>
      <c r="S20" s="543"/>
      <c r="T20" s="543" t="s">
        <v>1846</v>
      </c>
      <c r="U20" s="543" t="s">
        <v>1847</v>
      </c>
      <c r="V20" s="543" t="s">
        <v>1850</v>
      </c>
      <c r="W20" s="543" t="s">
        <v>1849</v>
      </c>
    </row>
    <row r="21" spans="1:23" ht="89.25" customHeight="1" x14ac:dyDescent="0.25">
      <c r="A21" s="730"/>
      <c r="B21" s="736"/>
      <c r="C21" s="704"/>
      <c r="D21" s="733" t="s">
        <v>1818</v>
      </c>
      <c r="E21" s="543" t="s">
        <v>1809</v>
      </c>
      <c r="F21" s="543" t="s">
        <v>1810</v>
      </c>
      <c r="G21" s="543" t="s">
        <v>1819</v>
      </c>
      <c r="H21" s="543" t="s">
        <v>1817</v>
      </c>
      <c r="I21" s="545">
        <v>0</v>
      </c>
      <c r="J21" s="559">
        <v>0</v>
      </c>
      <c r="K21" s="545">
        <v>0.5</v>
      </c>
      <c r="L21" s="559">
        <f>R21*0.5</f>
        <v>8225</v>
      </c>
      <c r="M21" s="545">
        <v>0.5</v>
      </c>
      <c r="N21" s="559">
        <f>R21*0.5</f>
        <v>8225</v>
      </c>
      <c r="O21" s="545">
        <v>0</v>
      </c>
      <c r="P21" s="559">
        <v>0</v>
      </c>
      <c r="Q21" s="608">
        <f t="shared" si="0"/>
        <v>1</v>
      </c>
      <c r="R21" s="617">
        <f>'5. ACTIVIDADES ESPECIALES'!D438</f>
        <v>16450</v>
      </c>
      <c r="S21" s="543"/>
      <c r="T21" s="543" t="s">
        <v>1843</v>
      </c>
      <c r="U21" s="543" t="s">
        <v>1852</v>
      </c>
      <c r="V21" s="543" t="s">
        <v>1803</v>
      </c>
      <c r="W21" s="543" t="s">
        <v>1853</v>
      </c>
    </row>
    <row r="22" spans="1:23" ht="81.75" customHeight="1" x14ac:dyDescent="0.25">
      <c r="A22" s="730"/>
      <c r="B22" s="736"/>
      <c r="C22" s="704"/>
      <c r="D22" s="733"/>
      <c r="E22" s="543" t="s">
        <v>1823</v>
      </c>
      <c r="F22" s="543" t="s">
        <v>1832</v>
      </c>
      <c r="G22" s="543" t="s">
        <v>1820</v>
      </c>
      <c r="H22" s="543" t="s">
        <v>1838</v>
      </c>
      <c r="I22" s="618">
        <v>10</v>
      </c>
      <c r="J22" s="559">
        <v>0</v>
      </c>
      <c r="K22" s="618">
        <v>0</v>
      </c>
      <c r="L22" s="559">
        <v>0</v>
      </c>
      <c r="M22" s="618">
        <v>4</v>
      </c>
      <c r="N22" s="559">
        <v>0</v>
      </c>
      <c r="O22" s="618">
        <v>0</v>
      </c>
      <c r="P22" s="559">
        <v>0</v>
      </c>
      <c r="Q22" s="618">
        <v>14</v>
      </c>
      <c r="R22" s="617">
        <f t="shared" si="1"/>
        <v>0</v>
      </c>
      <c r="S22" s="543"/>
      <c r="T22" s="543" t="s">
        <v>1839</v>
      </c>
      <c r="U22" s="543" t="s">
        <v>1854</v>
      </c>
      <c r="V22" s="543" t="s">
        <v>1855</v>
      </c>
      <c r="W22" s="543" t="s">
        <v>1856</v>
      </c>
    </row>
    <row r="23" spans="1:23" ht="85.5" customHeight="1" x14ac:dyDescent="0.25">
      <c r="A23" s="730"/>
      <c r="B23" s="736"/>
      <c r="C23" s="704"/>
      <c r="D23" s="733"/>
      <c r="E23" s="543" t="s">
        <v>1923</v>
      </c>
      <c r="F23" s="543" t="s">
        <v>1924</v>
      </c>
      <c r="G23" s="543" t="s">
        <v>1821</v>
      </c>
      <c r="H23" s="543" t="s">
        <v>1837</v>
      </c>
      <c r="I23" s="545">
        <v>1</v>
      </c>
      <c r="J23" s="559">
        <f>R23</f>
        <v>300000</v>
      </c>
      <c r="K23" s="545">
        <v>0</v>
      </c>
      <c r="L23" s="559">
        <v>0</v>
      </c>
      <c r="M23" s="545">
        <v>0</v>
      </c>
      <c r="N23" s="559">
        <v>0</v>
      </c>
      <c r="O23" s="545">
        <v>0</v>
      </c>
      <c r="P23" s="559">
        <v>0</v>
      </c>
      <c r="Q23" s="608">
        <f t="shared" si="0"/>
        <v>1</v>
      </c>
      <c r="R23" s="617">
        <f>'5. ACTIVIDADES ESPECIALES'!D482</f>
        <v>300000</v>
      </c>
      <c r="S23" s="543"/>
      <c r="T23" s="543" t="s">
        <v>1926</v>
      </c>
      <c r="U23" s="543" t="s">
        <v>1864</v>
      </c>
      <c r="V23" s="543" t="s">
        <v>1863</v>
      </c>
      <c r="W23" s="543" t="s">
        <v>1857</v>
      </c>
    </row>
    <row r="24" spans="1:23" ht="77.25" customHeight="1" x14ac:dyDescent="0.25">
      <c r="A24" s="730"/>
      <c r="B24" s="736"/>
      <c r="C24" s="704"/>
      <c r="D24" s="733"/>
      <c r="E24" s="543" t="s">
        <v>1824</v>
      </c>
      <c r="F24" s="543" t="s">
        <v>1831</v>
      </c>
      <c r="G24" s="543" t="s">
        <v>1822</v>
      </c>
      <c r="H24" s="543" t="s">
        <v>1836</v>
      </c>
      <c r="I24" s="545">
        <v>0.25</v>
      </c>
      <c r="J24" s="559">
        <v>0</v>
      </c>
      <c r="K24" s="545">
        <v>0.25</v>
      </c>
      <c r="L24" s="559">
        <v>0</v>
      </c>
      <c r="M24" s="545">
        <v>0.25</v>
      </c>
      <c r="N24" s="559">
        <v>0</v>
      </c>
      <c r="O24" s="545">
        <v>0.25</v>
      </c>
      <c r="P24" s="559">
        <v>0</v>
      </c>
      <c r="Q24" s="608">
        <f t="shared" si="0"/>
        <v>1</v>
      </c>
      <c r="R24" s="617">
        <v>0</v>
      </c>
      <c r="S24" s="543"/>
      <c r="T24" s="543" t="s">
        <v>1840</v>
      </c>
      <c r="U24" s="543" t="s">
        <v>1865</v>
      </c>
      <c r="V24" s="543" t="s">
        <v>1803</v>
      </c>
      <c r="W24" s="543" t="s">
        <v>1858</v>
      </c>
    </row>
    <row r="25" spans="1:23" ht="102" customHeight="1" x14ac:dyDescent="0.25">
      <c r="A25" s="730"/>
      <c r="B25" s="736"/>
      <c r="C25" s="704"/>
      <c r="D25" s="733"/>
      <c r="E25" s="543" t="s">
        <v>1825</v>
      </c>
      <c r="F25" s="543" t="s">
        <v>1830</v>
      </c>
      <c r="G25" s="543" t="s">
        <v>1833</v>
      </c>
      <c r="H25" s="543" t="s">
        <v>1835</v>
      </c>
      <c r="I25" s="545">
        <v>1</v>
      </c>
      <c r="J25" s="559">
        <v>0</v>
      </c>
      <c r="K25" s="545">
        <v>0</v>
      </c>
      <c r="L25" s="559">
        <v>0</v>
      </c>
      <c r="M25" s="545">
        <v>0</v>
      </c>
      <c r="N25" s="559">
        <v>0</v>
      </c>
      <c r="O25" s="545">
        <v>0</v>
      </c>
      <c r="P25" s="559">
        <v>0</v>
      </c>
      <c r="Q25" s="608">
        <f t="shared" si="0"/>
        <v>1</v>
      </c>
      <c r="R25" s="617">
        <f t="shared" si="1"/>
        <v>0</v>
      </c>
      <c r="S25" s="543"/>
      <c r="T25" s="543" t="s">
        <v>1841</v>
      </c>
      <c r="U25" s="543" t="s">
        <v>1866</v>
      </c>
      <c r="V25" s="543" t="s">
        <v>1862</v>
      </c>
      <c r="W25" s="543" t="s">
        <v>1859</v>
      </c>
    </row>
    <row r="26" spans="1:23" ht="60" customHeight="1" x14ac:dyDescent="0.25">
      <c r="A26" s="730"/>
      <c r="B26" s="736"/>
      <c r="C26" s="704"/>
      <c r="D26" s="733"/>
      <c r="E26" s="543" t="s">
        <v>1826</v>
      </c>
      <c r="F26" s="543" t="s">
        <v>1827</v>
      </c>
      <c r="G26" s="543" t="s">
        <v>1834</v>
      </c>
      <c r="H26" s="543" t="s">
        <v>1890</v>
      </c>
      <c r="I26" s="545">
        <v>0</v>
      </c>
      <c r="J26" s="559">
        <v>0</v>
      </c>
      <c r="K26" s="545">
        <v>0.5</v>
      </c>
      <c r="L26" s="559">
        <f>R26*0.5</f>
        <v>6462.5</v>
      </c>
      <c r="M26" s="545">
        <v>0</v>
      </c>
      <c r="N26" s="559">
        <v>0</v>
      </c>
      <c r="O26" s="545">
        <v>0.5</v>
      </c>
      <c r="P26" s="559">
        <f>R26*0.5</f>
        <v>6462.5</v>
      </c>
      <c r="Q26" s="608">
        <f t="shared" si="0"/>
        <v>1</v>
      </c>
      <c r="R26" s="617">
        <f>'5. ACTIVIDADES ESPECIALES'!D526</f>
        <v>12925</v>
      </c>
      <c r="S26" s="543"/>
      <c r="T26" s="543" t="s">
        <v>1842</v>
      </c>
      <c r="U26" s="543" t="s">
        <v>1867</v>
      </c>
      <c r="V26" s="543" t="s">
        <v>1861</v>
      </c>
      <c r="W26" s="543" t="s">
        <v>1860</v>
      </c>
    </row>
    <row r="27" spans="1:23" ht="94.5" customHeight="1" x14ac:dyDescent="0.25">
      <c r="A27" s="730"/>
      <c r="B27" s="736"/>
      <c r="C27" s="704"/>
      <c r="D27" s="733"/>
      <c r="E27" s="543" t="s">
        <v>1900</v>
      </c>
      <c r="F27" s="543" t="s">
        <v>1891</v>
      </c>
      <c r="G27" s="543" t="s">
        <v>1851</v>
      </c>
      <c r="H27" s="543" t="s">
        <v>1901</v>
      </c>
      <c r="I27" s="545">
        <v>0.25</v>
      </c>
      <c r="J27" s="546">
        <f>R27/4</f>
        <v>326250</v>
      </c>
      <c r="K27" s="545">
        <v>0.25</v>
      </c>
      <c r="L27" s="546">
        <f>R27/4</f>
        <v>326250</v>
      </c>
      <c r="M27" s="545">
        <v>0.25</v>
      </c>
      <c r="N27" s="546">
        <f>R27/4</f>
        <v>326250</v>
      </c>
      <c r="O27" s="545">
        <v>0.25</v>
      </c>
      <c r="P27" s="546">
        <f>R27/4</f>
        <v>326250</v>
      </c>
      <c r="Q27" s="608">
        <f t="shared" si="0"/>
        <v>1</v>
      </c>
      <c r="R27" s="620">
        <f>'2. CONTRATACION DE PERSONAL'!D10+'2. CONTRATACION DE PERSONAL'!D70+'2. CONTRATACION DE PERSONAL'!D130</f>
        <v>1305000</v>
      </c>
      <c r="S27" s="543"/>
      <c r="T27" s="543" t="s">
        <v>1892</v>
      </c>
      <c r="U27" s="543" t="s">
        <v>1893</v>
      </c>
      <c r="V27" s="543" t="s">
        <v>1894</v>
      </c>
      <c r="W27" s="543" t="s">
        <v>1859</v>
      </c>
    </row>
    <row r="28" spans="1:23" ht="99" customHeight="1" x14ac:dyDescent="0.25">
      <c r="A28" s="730"/>
      <c r="B28" s="736"/>
      <c r="C28" s="704"/>
      <c r="D28" s="733"/>
      <c r="E28" s="544" t="s">
        <v>1828</v>
      </c>
      <c r="F28" s="544" t="s">
        <v>1829</v>
      </c>
      <c r="G28" s="544" t="s">
        <v>1895</v>
      </c>
      <c r="H28" s="544" t="s">
        <v>1949</v>
      </c>
      <c r="I28" s="625">
        <v>0.75</v>
      </c>
      <c r="J28" s="624">
        <f>R28*0.75</f>
        <v>118500</v>
      </c>
      <c r="K28" s="625">
        <v>0.25</v>
      </c>
      <c r="L28" s="624">
        <f>R28*0.25</f>
        <v>39500</v>
      </c>
      <c r="M28" s="625">
        <v>0</v>
      </c>
      <c r="N28" s="624">
        <v>0</v>
      </c>
      <c r="O28" s="625">
        <v>0</v>
      </c>
      <c r="P28" s="624">
        <v>0</v>
      </c>
      <c r="Q28" s="608">
        <f t="shared" si="0"/>
        <v>1</v>
      </c>
      <c r="R28" s="617">
        <f>'3. EQUIPO DE OFICINA'!D29</f>
        <v>158000</v>
      </c>
      <c r="S28" s="544"/>
      <c r="T28" s="544" t="s">
        <v>1925</v>
      </c>
      <c r="U28" s="544" t="s">
        <v>1868</v>
      </c>
      <c r="V28" s="544" t="s">
        <v>1862</v>
      </c>
      <c r="W28" s="544" t="s">
        <v>1860</v>
      </c>
    </row>
    <row r="29" spans="1:23" ht="15.75" x14ac:dyDescent="0.25">
      <c r="A29" s="731"/>
      <c r="B29" s="737"/>
      <c r="C29" s="732"/>
      <c r="D29" s="734"/>
      <c r="E29" s="543"/>
      <c r="F29" s="543"/>
      <c r="G29" s="543"/>
      <c r="H29" s="543"/>
      <c r="I29" s="543"/>
      <c r="J29" s="559"/>
      <c r="K29" s="543"/>
      <c r="L29" s="559"/>
      <c r="M29" s="543"/>
      <c r="N29" s="559"/>
      <c r="O29" s="543"/>
      <c r="P29" s="559"/>
      <c r="Q29" s="608">
        <f t="shared" si="0"/>
        <v>0</v>
      </c>
      <c r="R29" s="617">
        <f t="shared" si="1"/>
        <v>0</v>
      </c>
      <c r="S29" s="543"/>
      <c r="T29" s="592"/>
      <c r="U29" s="543"/>
      <c r="V29" s="543"/>
      <c r="W29" s="543"/>
    </row>
    <row r="30" spans="1:23" ht="15.75" x14ac:dyDescent="0.25">
      <c r="A30" s="588"/>
      <c r="B30" s="589"/>
      <c r="C30" s="589"/>
      <c r="D30" s="589"/>
      <c r="E30" s="589"/>
      <c r="F30" s="588" t="s">
        <v>1431</v>
      </c>
      <c r="G30" s="589"/>
      <c r="H30" s="590"/>
      <c r="I30" s="593"/>
      <c r="J30" s="611">
        <f t="shared" ref="J30:P30" si="2">SUM(J10:J29)</f>
        <v>963341.25</v>
      </c>
      <c r="K30" s="593"/>
      <c r="L30" s="611">
        <f t="shared" si="2"/>
        <v>904721.57224999997</v>
      </c>
      <c r="M30" s="593"/>
      <c r="N30" s="611">
        <f t="shared" si="2"/>
        <v>906168.75</v>
      </c>
      <c r="O30" s="593"/>
      <c r="P30" s="611">
        <f t="shared" si="2"/>
        <v>383393.75</v>
      </c>
      <c r="Q30" s="615"/>
      <c r="R30" s="611">
        <f>SUM(R10:R29)</f>
        <v>3157625.3222500002</v>
      </c>
      <c r="S30" s="594"/>
      <c r="T30" s="594"/>
      <c r="U30" s="594"/>
      <c r="V30" s="594"/>
      <c r="W30" s="594"/>
    </row>
    <row r="35" spans="17:18" x14ac:dyDescent="0.25">
      <c r="R35" s="612">
        <f>SUM(R10:R28)</f>
        <v>3157625.3222500002</v>
      </c>
    </row>
    <row r="37" spans="17:18" ht="18.75" x14ac:dyDescent="0.3">
      <c r="Q37" s="619">
        <f>SUM(P30+N30+L30+J30)</f>
        <v>3157625.3222500002</v>
      </c>
    </row>
  </sheetData>
  <mergeCells count="29">
    <mergeCell ref="F6:F8"/>
    <mergeCell ref="B6:B8"/>
    <mergeCell ref="C6:C8"/>
    <mergeCell ref="E6:E8"/>
    <mergeCell ref="A10:A29"/>
    <mergeCell ref="C10:C29"/>
    <mergeCell ref="D10:D13"/>
    <mergeCell ref="B10:B13"/>
    <mergeCell ref="D14:D16"/>
    <mergeCell ref="D21:D29"/>
    <mergeCell ref="D17:D20"/>
    <mergeCell ref="B14:B29"/>
    <mergeCell ref="D6:D8"/>
    <mergeCell ref="G1:N1"/>
    <mergeCell ref="H6:H8"/>
    <mergeCell ref="I6:P6"/>
    <mergeCell ref="A5:W5"/>
    <mergeCell ref="T6:T8"/>
    <mergeCell ref="U6:U8"/>
    <mergeCell ref="V6:V8"/>
    <mergeCell ref="W6:W8"/>
    <mergeCell ref="S6:S8"/>
    <mergeCell ref="G6:G8"/>
    <mergeCell ref="A6:A8"/>
    <mergeCell ref="Q6:R7"/>
    <mergeCell ref="I7:J7"/>
    <mergeCell ref="K7:L7"/>
    <mergeCell ref="M7:N7"/>
    <mergeCell ref="O7:P7"/>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G6:G9"/>
    <dataValidation allowBlank="1" showInputMessage="1" showErrorMessage="1" promptTitle="INDICADORES DE RESULTADOS" prompt="Medidas o variables para verificar el cumplimiento de cada pas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E9 D6:E6 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H6:H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W6:W9"/>
    <dataValidation allowBlank="1" showInputMessage="1" showErrorMessage="1" promptTitle="POBLACIÓN OBJETIVO" prompt="Grupo  de personas al cual se pretende beneficiar con dicho actividad." sqref="V6:V9"/>
    <dataValidation allowBlank="1" showInputMessage="1" showErrorMessage="1" promptTitle="MEDIO DE VERIFICACIÓN" prompt="Corresponde a los elementos a través del cual se acredita y se verifican  las actividades." sqref="U6:U9"/>
    <dataValidation allowBlank="1" showInputMessage="1" showErrorMessage="1" promptTitle="JUSTIFICACIÓN" prompt="Es aquella en que se explica de forma convincente el motivo por el que y para que se va realizar dicha actividad, que beneficio va traer a la institución." sqref="T6:T9"/>
    <dataValidation allowBlank="1" showInputMessage="1" showErrorMessage="1" promptTitle="SUPUESTOS" prompt="Un  supuesto es un dato asumido como cierto a efectos de planificación este puede ser positivo como negativo." sqref="S6:S9"/>
    <dataValidation type="list" allowBlank="1" showInputMessage="1" showErrorMessage="1" sqref="C10">
      <formula1>$B$1:$F$1</formula1>
    </dataValidation>
  </dataValidations>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3"/>
  <sheetViews>
    <sheetView zoomScale="80" zoomScaleNormal="80" workbookViewId="0">
      <pane ySplit="8" topLeftCell="A21" activePane="bottomLeft" state="frozen"/>
      <selection activeCell="K7" sqref="K7"/>
      <selection pane="bottomLeft" activeCell="C55" sqref="C55"/>
    </sheetView>
  </sheetViews>
  <sheetFormatPr baseColWidth="10" defaultRowHeight="15" x14ac:dyDescent="0.25"/>
  <cols>
    <col min="1" max="1" width="35.7109375" style="365" customWidth="1"/>
    <col min="2" max="2" width="35.85546875" style="365" customWidth="1"/>
    <col min="3" max="3" width="27.42578125" style="365" customWidth="1"/>
    <col min="4" max="4" width="27.42578125" style="462" customWidth="1"/>
    <col min="5" max="7" width="27.42578125" style="365" customWidth="1"/>
    <col min="8" max="8" width="15.28515625" style="365" customWidth="1"/>
    <col min="9" max="9" width="11.42578125" style="233"/>
    <col min="10" max="10" width="15.28515625" style="365" customWidth="1"/>
    <col min="11" max="11" width="18.85546875" style="233" customWidth="1"/>
    <col min="12" max="12" width="11.42578125" style="365"/>
    <col min="13" max="13" width="11.42578125" style="233"/>
    <col min="14" max="14" width="11.42578125" style="365"/>
    <col min="15" max="15" width="11.42578125" style="233"/>
    <col min="16" max="16" width="15.28515625" style="365" customWidth="1"/>
    <col min="17" max="17" width="18.28515625" style="233" customWidth="1"/>
    <col min="18" max="20" width="14.140625" style="365" customWidth="1"/>
    <col min="21" max="21" width="17" style="365" customWidth="1"/>
    <col min="22" max="16384" width="11.42578125" style="365"/>
  </cols>
  <sheetData>
    <row r="1" spans="1:42" ht="24.75" customHeight="1" x14ac:dyDescent="0.25">
      <c r="A1" s="407"/>
      <c r="B1" s="407"/>
      <c r="C1" s="407"/>
      <c r="D1" s="407"/>
      <c r="E1" s="407"/>
      <c r="F1" s="738" t="s">
        <v>1469</v>
      </c>
      <c r="G1" s="738"/>
      <c r="H1" s="738"/>
      <c r="I1" s="738"/>
      <c r="J1" s="738"/>
      <c r="K1" s="738"/>
      <c r="L1" s="738"/>
      <c r="M1" s="738"/>
      <c r="N1" s="408"/>
      <c r="O1" s="462" t="s">
        <v>1633</v>
      </c>
      <c r="P1" s="462" t="s">
        <v>1634</v>
      </c>
      <c r="Q1" s="462" t="s">
        <v>1635</v>
      </c>
      <c r="R1" s="462" t="s">
        <v>1636</v>
      </c>
      <c r="S1" s="462" t="s">
        <v>1637</v>
      </c>
      <c r="T1" s="462" t="s">
        <v>1638</v>
      </c>
      <c r="U1" s="462" t="s">
        <v>1639</v>
      </c>
      <c r="V1" s="462" t="s">
        <v>1640</v>
      </c>
      <c r="W1" s="462" t="s">
        <v>1641</v>
      </c>
      <c r="X1" s="462" t="s">
        <v>1642</v>
      </c>
      <c r="Y1" s="462" t="s">
        <v>1643</v>
      </c>
      <c r="Z1" s="462" t="s">
        <v>1644</v>
      </c>
      <c r="AA1" s="462" t="s">
        <v>1645</v>
      </c>
      <c r="AB1" s="462" t="s">
        <v>1646</v>
      </c>
      <c r="AC1" s="462" t="s">
        <v>1647</v>
      </c>
      <c r="AD1" s="462" t="s">
        <v>1648</v>
      </c>
      <c r="AE1" s="462" t="s">
        <v>1649</v>
      </c>
      <c r="AF1" s="407"/>
      <c r="AG1" s="407"/>
      <c r="AH1" s="407"/>
      <c r="AI1" s="407"/>
      <c r="AJ1" s="407"/>
      <c r="AK1" s="407"/>
      <c r="AL1" s="407"/>
      <c r="AM1" s="407"/>
      <c r="AN1" s="407"/>
      <c r="AO1" s="407"/>
      <c r="AP1" s="407"/>
    </row>
    <row r="2" spans="1:42" ht="18.75" x14ac:dyDescent="0.25">
      <c r="A2" s="406" t="s">
        <v>1353</v>
      </c>
      <c r="B2" s="407"/>
      <c r="C2" s="407"/>
      <c r="D2" s="407"/>
      <c r="E2" s="407"/>
      <c r="F2" s="407"/>
      <c r="G2" s="407"/>
      <c r="H2" s="408"/>
      <c r="I2" s="409"/>
      <c r="J2" s="408"/>
      <c r="K2" s="408"/>
      <c r="L2" s="408"/>
      <c r="M2" s="408"/>
      <c r="N2" s="408"/>
      <c r="O2" s="408"/>
      <c r="P2" s="408"/>
      <c r="Q2" s="408"/>
      <c r="R2" s="408"/>
      <c r="S2" s="408"/>
      <c r="T2" s="408"/>
      <c r="U2" s="408"/>
      <c r="V2" s="408"/>
      <c r="W2" s="408"/>
      <c r="X2" s="408"/>
      <c r="Y2" s="408"/>
      <c r="Z2" s="408"/>
      <c r="AA2" s="408"/>
      <c r="AB2" s="407"/>
      <c r="AC2" s="407"/>
      <c r="AD2" s="407"/>
      <c r="AE2" s="407"/>
      <c r="AF2" s="407"/>
      <c r="AG2" s="407"/>
      <c r="AH2" s="407"/>
      <c r="AI2" s="407"/>
      <c r="AJ2" s="407"/>
      <c r="AK2" s="407"/>
      <c r="AL2" s="407"/>
      <c r="AM2" s="407"/>
      <c r="AN2" s="407"/>
      <c r="AO2" s="407"/>
      <c r="AP2" s="407"/>
    </row>
    <row r="3" spans="1:42" ht="18.75" x14ac:dyDescent="0.25">
      <c r="A3" s="406" t="s">
        <v>1475</v>
      </c>
      <c r="B3" s="407"/>
      <c r="C3" s="407"/>
      <c r="D3" s="407"/>
      <c r="E3" s="407"/>
      <c r="F3" s="407"/>
      <c r="G3" s="407"/>
      <c r="H3" s="408"/>
      <c r="I3" s="409"/>
      <c r="J3" s="408"/>
      <c r="K3" s="408"/>
      <c r="L3" s="408"/>
      <c r="M3" s="408"/>
      <c r="N3" s="408"/>
      <c r="O3" s="408"/>
      <c r="P3" s="408"/>
      <c r="Q3" s="408"/>
      <c r="R3" s="408"/>
      <c r="S3" s="408"/>
      <c r="T3" s="408"/>
      <c r="U3" s="408"/>
      <c r="V3" s="408"/>
      <c r="W3" s="408"/>
      <c r="X3" s="408"/>
      <c r="Y3" s="408"/>
      <c r="Z3" s="408"/>
      <c r="AA3" s="408"/>
      <c r="AB3" s="407"/>
      <c r="AC3" s="407"/>
      <c r="AD3" s="407"/>
      <c r="AE3" s="407"/>
      <c r="AF3" s="407"/>
      <c r="AG3" s="407"/>
      <c r="AH3" s="407"/>
      <c r="AI3" s="407"/>
      <c r="AJ3" s="407"/>
      <c r="AK3" s="407"/>
      <c r="AL3" s="407"/>
      <c r="AM3" s="407"/>
      <c r="AN3" s="407"/>
      <c r="AO3" s="407"/>
      <c r="AP3" s="407"/>
    </row>
    <row r="4" spans="1:42" s="407" customFormat="1" ht="18.75" x14ac:dyDescent="0.25">
      <c r="A4" s="406" t="s">
        <v>1486</v>
      </c>
      <c r="H4" s="408"/>
      <c r="I4" s="409"/>
      <c r="J4" s="408"/>
      <c r="K4" s="408"/>
      <c r="L4" s="408"/>
      <c r="M4" s="408"/>
      <c r="N4" s="408"/>
      <c r="O4" s="408"/>
      <c r="P4" s="408"/>
      <c r="Q4" s="408"/>
      <c r="R4" s="408"/>
      <c r="S4" s="408"/>
      <c r="T4" s="408"/>
      <c r="U4" s="408"/>
      <c r="V4" s="408"/>
      <c r="W4" s="408"/>
      <c r="X4" s="408"/>
      <c r="Y4" s="408"/>
      <c r="Z4" s="408"/>
      <c r="AA4" s="408"/>
    </row>
    <row r="5" spans="1:42" s="407" customFormat="1" ht="18.75" customHeight="1" x14ac:dyDescent="0.25">
      <c r="A5" s="410" t="s">
        <v>1476</v>
      </c>
      <c r="B5" s="411"/>
      <c r="C5" s="411"/>
      <c r="D5" s="411"/>
      <c r="E5" s="411"/>
      <c r="F5" s="411"/>
      <c r="G5" s="411"/>
      <c r="H5" s="411"/>
      <c r="I5" s="411"/>
      <c r="J5" s="411"/>
      <c r="K5" s="411"/>
      <c r="L5" s="411"/>
      <c r="M5" s="411"/>
      <c r="N5" s="411"/>
      <c r="O5" s="411"/>
      <c r="P5" s="411"/>
      <c r="Q5" s="411"/>
      <c r="R5" s="411"/>
      <c r="S5" s="411"/>
      <c r="T5" s="411"/>
      <c r="U5" s="411"/>
    </row>
    <row r="6" spans="1:42" ht="15" customHeight="1" x14ac:dyDescent="0.25">
      <c r="A6" s="666" t="s">
        <v>96</v>
      </c>
      <c r="B6" s="665" t="s">
        <v>110</v>
      </c>
      <c r="C6" s="668" t="s">
        <v>1514</v>
      </c>
      <c r="D6" s="668" t="s">
        <v>1515</v>
      </c>
      <c r="E6" s="668" t="s">
        <v>86</v>
      </c>
      <c r="F6" s="668" t="s">
        <v>390</v>
      </c>
      <c r="G6" s="668" t="s">
        <v>87</v>
      </c>
      <c r="H6" s="671" t="s">
        <v>99</v>
      </c>
      <c r="I6" s="677"/>
      <c r="J6" s="677"/>
      <c r="K6" s="677"/>
      <c r="L6" s="677"/>
      <c r="M6" s="677"/>
      <c r="N6" s="677"/>
      <c r="O6" s="672"/>
      <c r="P6" s="673" t="s">
        <v>100</v>
      </c>
      <c r="Q6" s="674"/>
      <c r="R6" s="665" t="s">
        <v>102</v>
      </c>
      <c r="S6" s="665" t="s">
        <v>109</v>
      </c>
      <c r="T6" s="665" t="s">
        <v>108</v>
      </c>
      <c r="U6" s="662" t="s">
        <v>88</v>
      </c>
    </row>
    <row r="7" spans="1:42" ht="15" customHeight="1" x14ac:dyDescent="0.25">
      <c r="A7" s="666"/>
      <c r="B7" s="666"/>
      <c r="C7" s="669"/>
      <c r="D7" s="669"/>
      <c r="E7" s="669"/>
      <c r="F7" s="669"/>
      <c r="G7" s="669"/>
      <c r="H7" s="671" t="s">
        <v>103</v>
      </c>
      <c r="I7" s="672"/>
      <c r="J7" s="671" t="s">
        <v>104</v>
      </c>
      <c r="K7" s="672"/>
      <c r="L7" s="671" t="s">
        <v>105</v>
      </c>
      <c r="M7" s="672"/>
      <c r="N7" s="671" t="s">
        <v>106</v>
      </c>
      <c r="O7" s="672"/>
      <c r="P7" s="675"/>
      <c r="Q7" s="676"/>
      <c r="R7" s="666"/>
      <c r="S7" s="666"/>
      <c r="T7" s="666"/>
      <c r="U7" s="663"/>
    </row>
    <row r="8" spans="1:42" ht="25.5" x14ac:dyDescent="0.25">
      <c r="A8" s="667"/>
      <c r="B8" s="667"/>
      <c r="C8" s="670"/>
      <c r="D8" s="670"/>
      <c r="E8" s="670"/>
      <c r="F8" s="670"/>
      <c r="G8" s="670"/>
      <c r="H8" s="438" t="s">
        <v>107</v>
      </c>
      <c r="I8" s="438" t="s">
        <v>12</v>
      </c>
      <c r="J8" s="438" t="s">
        <v>107</v>
      </c>
      <c r="K8" s="438" t="s">
        <v>12</v>
      </c>
      <c r="L8" s="438" t="s">
        <v>107</v>
      </c>
      <c r="M8" s="438" t="s">
        <v>12</v>
      </c>
      <c r="N8" s="438" t="s">
        <v>107</v>
      </c>
      <c r="O8" s="438" t="s">
        <v>12</v>
      </c>
      <c r="P8" s="438" t="s">
        <v>107</v>
      </c>
      <c r="Q8" s="438" t="s">
        <v>12</v>
      </c>
      <c r="R8" s="667"/>
      <c r="S8" s="667"/>
      <c r="T8" s="667"/>
      <c r="U8" s="664"/>
    </row>
    <row r="9" spans="1:42" ht="15.75" x14ac:dyDescent="0.25">
      <c r="A9" s="439"/>
      <c r="B9" s="440"/>
      <c r="C9" s="441"/>
      <c r="D9" s="441"/>
      <c r="E9" s="441"/>
      <c r="F9" s="442"/>
      <c r="G9" s="441"/>
      <c r="H9" s="443"/>
      <c r="I9" s="443"/>
      <c r="J9" s="443"/>
      <c r="K9" s="443"/>
      <c r="L9" s="443"/>
      <c r="M9" s="443"/>
      <c r="N9" s="443"/>
      <c r="O9" s="443"/>
      <c r="P9" s="443"/>
      <c r="Q9" s="443"/>
      <c r="R9" s="444"/>
      <c r="S9" s="444"/>
      <c r="T9" s="444"/>
      <c r="U9" s="445"/>
    </row>
    <row r="10" spans="1:42" ht="15.75" customHeight="1" x14ac:dyDescent="0.25">
      <c r="A10" s="678" t="s">
        <v>1477</v>
      </c>
      <c r="B10" s="678" t="s">
        <v>1478</v>
      </c>
      <c r="C10" s="325"/>
      <c r="D10" s="325"/>
      <c r="E10" s="325"/>
      <c r="F10" s="325"/>
      <c r="G10" s="325"/>
      <c r="H10" s="355"/>
      <c r="I10" s="356"/>
      <c r="J10" s="355"/>
      <c r="K10" s="356"/>
      <c r="L10" s="355"/>
      <c r="M10" s="356"/>
      <c r="N10" s="355"/>
      <c r="O10" s="356"/>
      <c r="P10" s="401">
        <f t="shared" ref="P10:Q12" si="0">H10+J10+L10+N10</f>
        <v>0</v>
      </c>
      <c r="Q10" s="399">
        <f t="shared" si="0"/>
        <v>0</v>
      </c>
      <c r="R10" s="325"/>
      <c r="S10" s="325"/>
      <c r="T10" s="325"/>
      <c r="U10" s="325"/>
    </row>
    <row r="11" spans="1:42" ht="15.75" x14ac:dyDescent="0.25">
      <c r="A11" s="679"/>
      <c r="B11" s="679"/>
      <c r="C11" s="325"/>
      <c r="D11" s="325"/>
      <c r="E11" s="325"/>
      <c r="F11" s="325"/>
      <c r="G11" s="325"/>
      <c r="H11" s="355"/>
      <c r="I11" s="356"/>
      <c r="J11" s="355"/>
      <c r="K11" s="356"/>
      <c r="L11" s="355"/>
      <c r="M11" s="356"/>
      <c r="N11" s="355"/>
      <c r="O11" s="356"/>
      <c r="P11" s="401">
        <f t="shared" si="0"/>
        <v>0</v>
      </c>
      <c r="Q11" s="399">
        <f t="shared" si="0"/>
        <v>0</v>
      </c>
      <c r="R11" s="325"/>
      <c r="S11" s="325"/>
      <c r="T11" s="325"/>
      <c r="U11" s="325"/>
    </row>
    <row r="12" spans="1:42" ht="15.75" x14ac:dyDescent="0.25">
      <c r="A12" s="679"/>
      <c r="B12" s="679"/>
      <c r="C12" s="325"/>
      <c r="D12" s="325"/>
      <c r="E12" s="325"/>
      <c r="F12" s="325"/>
      <c r="G12" s="325"/>
      <c r="H12" s="355"/>
      <c r="I12" s="356"/>
      <c r="J12" s="355"/>
      <c r="K12" s="356"/>
      <c r="L12" s="355"/>
      <c r="M12" s="356"/>
      <c r="N12" s="355"/>
      <c r="O12" s="356"/>
      <c r="P12" s="401">
        <f t="shared" si="0"/>
        <v>0</v>
      </c>
      <c r="Q12" s="399">
        <f t="shared" si="0"/>
        <v>0</v>
      </c>
      <c r="R12" s="325"/>
      <c r="S12" s="325"/>
      <c r="T12" s="325"/>
      <c r="U12" s="325"/>
    </row>
    <row r="13" spans="1:42" ht="15.75" x14ac:dyDescent="0.25">
      <c r="A13" s="679"/>
      <c r="B13" s="679"/>
      <c r="C13" s="325"/>
      <c r="D13" s="325"/>
      <c r="E13" s="325"/>
      <c r="F13" s="325"/>
      <c r="G13" s="325"/>
      <c r="H13" s="355"/>
      <c r="I13" s="356"/>
      <c r="J13" s="355"/>
      <c r="K13" s="356"/>
      <c r="L13" s="355"/>
      <c r="M13" s="356"/>
      <c r="N13" s="355"/>
      <c r="O13" s="356"/>
      <c r="P13" s="401">
        <f t="shared" ref="P13:P25" si="1">H13+J13+L13+N13</f>
        <v>0</v>
      </c>
      <c r="Q13" s="399">
        <f t="shared" ref="Q13:Q25" si="2">I13+K13+M13+O13</f>
        <v>0</v>
      </c>
      <c r="R13" s="325"/>
      <c r="S13" s="325"/>
      <c r="T13" s="325"/>
      <c r="U13" s="325"/>
    </row>
    <row r="14" spans="1:42" ht="15.75" x14ac:dyDescent="0.25">
      <c r="A14" s="679"/>
      <c r="B14" s="679"/>
      <c r="C14" s="325"/>
      <c r="D14" s="325"/>
      <c r="E14" s="325"/>
      <c r="F14" s="325"/>
      <c r="G14" s="325"/>
      <c r="H14" s="355"/>
      <c r="I14" s="356"/>
      <c r="J14" s="355"/>
      <c r="K14" s="356"/>
      <c r="L14" s="355"/>
      <c r="M14" s="356"/>
      <c r="N14" s="355"/>
      <c r="O14" s="356"/>
      <c r="P14" s="401">
        <f t="shared" si="1"/>
        <v>0</v>
      </c>
      <c r="Q14" s="399">
        <f t="shared" si="2"/>
        <v>0</v>
      </c>
      <c r="R14" s="325"/>
      <c r="S14" s="325"/>
      <c r="T14" s="325"/>
      <c r="U14" s="325"/>
    </row>
    <row r="15" spans="1:42" ht="15.75" x14ac:dyDescent="0.25">
      <c r="A15" s="679"/>
      <c r="B15" s="679"/>
      <c r="C15" s="325"/>
      <c r="D15" s="325"/>
      <c r="E15" s="325"/>
      <c r="F15" s="325"/>
      <c r="G15" s="325"/>
      <c r="H15" s="355"/>
      <c r="I15" s="356"/>
      <c r="J15" s="355"/>
      <c r="K15" s="356"/>
      <c r="L15" s="355"/>
      <c r="M15" s="356"/>
      <c r="N15" s="355"/>
      <c r="O15" s="356"/>
      <c r="P15" s="401">
        <f t="shared" si="1"/>
        <v>0</v>
      </c>
      <c r="Q15" s="399">
        <f t="shared" si="2"/>
        <v>0</v>
      </c>
      <c r="R15" s="325"/>
      <c r="S15" s="325"/>
      <c r="T15" s="325"/>
      <c r="U15" s="325"/>
    </row>
    <row r="16" spans="1:42" ht="15.75" x14ac:dyDescent="0.25">
      <c r="A16" s="679"/>
      <c r="B16" s="679"/>
      <c r="C16" s="325"/>
      <c r="D16" s="325"/>
      <c r="E16" s="325"/>
      <c r="F16" s="325"/>
      <c r="G16" s="325"/>
      <c r="H16" s="355"/>
      <c r="I16" s="356"/>
      <c r="J16" s="355"/>
      <c r="K16" s="356"/>
      <c r="L16" s="355"/>
      <c r="M16" s="356"/>
      <c r="N16" s="355"/>
      <c r="O16" s="356"/>
      <c r="P16" s="401">
        <f t="shared" si="1"/>
        <v>0</v>
      </c>
      <c r="Q16" s="399">
        <f t="shared" si="2"/>
        <v>0</v>
      </c>
      <c r="R16" s="325"/>
      <c r="S16" s="325"/>
      <c r="T16" s="325"/>
      <c r="U16" s="325"/>
    </row>
    <row r="17" spans="1:21" ht="15.75" x14ac:dyDescent="0.25">
      <c r="A17" s="679"/>
      <c r="B17" s="680"/>
      <c r="C17" s="325"/>
      <c r="D17" s="325"/>
      <c r="E17" s="325"/>
      <c r="F17" s="325"/>
      <c r="G17" s="325"/>
      <c r="H17" s="355"/>
      <c r="I17" s="356"/>
      <c r="J17" s="355"/>
      <c r="K17" s="356"/>
      <c r="L17" s="355"/>
      <c r="M17" s="356"/>
      <c r="N17" s="355"/>
      <c r="O17" s="356"/>
      <c r="P17" s="401">
        <f t="shared" si="1"/>
        <v>0</v>
      </c>
      <c r="Q17" s="399">
        <f t="shared" si="2"/>
        <v>0</v>
      </c>
      <c r="R17" s="325"/>
      <c r="S17" s="325"/>
      <c r="T17" s="325"/>
      <c r="U17" s="325"/>
    </row>
    <row r="18" spans="1:21" ht="15.75" x14ac:dyDescent="0.25">
      <c r="A18" s="679"/>
      <c r="B18" s="678" t="s">
        <v>1479</v>
      </c>
      <c r="C18" s="325"/>
      <c r="D18" s="325"/>
      <c r="E18" s="325"/>
      <c r="F18" s="325"/>
      <c r="G18" s="325"/>
      <c r="H18" s="355"/>
      <c r="I18" s="356"/>
      <c r="J18" s="355"/>
      <c r="K18" s="356"/>
      <c r="L18" s="355"/>
      <c r="M18" s="356"/>
      <c r="N18" s="355"/>
      <c r="O18" s="356"/>
      <c r="P18" s="401">
        <f t="shared" si="1"/>
        <v>0</v>
      </c>
      <c r="Q18" s="399">
        <f t="shared" si="2"/>
        <v>0</v>
      </c>
      <c r="R18" s="325"/>
      <c r="S18" s="325"/>
      <c r="T18" s="325"/>
      <c r="U18" s="325"/>
    </row>
    <row r="19" spans="1:21" ht="15.75" x14ac:dyDescent="0.25">
      <c r="A19" s="679"/>
      <c r="B19" s="679"/>
      <c r="C19" s="325"/>
      <c r="D19" s="325"/>
      <c r="E19" s="325"/>
      <c r="F19" s="325"/>
      <c r="G19" s="325"/>
      <c r="H19" s="355"/>
      <c r="I19" s="356"/>
      <c r="J19" s="355"/>
      <c r="K19" s="356"/>
      <c r="L19" s="355"/>
      <c r="M19" s="356"/>
      <c r="N19" s="355"/>
      <c r="O19" s="356"/>
      <c r="P19" s="401"/>
      <c r="Q19" s="399"/>
      <c r="R19" s="325"/>
      <c r="S19" s="325"/>
      <c r="T19" s="325"/>
      <c r="U19" s="325"/>
    </row>
    <row r="20" spans="1:21" ht="15.75" x14ac:dyDescent="0.25">
      <c r="A20" s="679"/>
      <c r="B20" s="679"/>
      <c r="C20" s="325"/>
      <c r="D20" s="325"/>
      <c r="E20" s="325"/>
      <c r="F20" s="325"/>
      <c r="G20" s="325"/>
      <c r="H20" s="355"/>
      <c r="I20" s="356"/>
      <c r="J20" s="355"/>
      <c r="K20" s="356"/>
      <c r="L20" s="355"/>
      <c r="M20" s="356"/>
      <c r="N20" s="355"/>
      <c r="O20" s="356"/>
      <c r="P20" s="401"/>
      <c r="Q20" s="399"/>
      <c r="R20" s="325"/>
      <c r="S20" s="325"/>
      <c r="T20" s="325"/>
      <c r="U20" s="325"/>
    </row>
    <row r="21" spans="1:21" ht="15.75" x14ac:dyDescent="0.25">
      <c r="A21" s="679"/>
      <c r="B21" s="679"/>
      <c r="C21" s="325"/>
      <c r="D21" s="325"/>
      <c r="E21" s="325"/>
      <c r="F21" s="325"/>
      <c r="G21" s="325"/>
      <c r="H21" s="355"/>
      <c r="I21" s="356"/>
      <c r="J21" s="355"/>
      <c r="K21" s="356"/>
      <c r="L21" s="355"/>
      <c r="M21" s="356"/>
      <c r="N21" s="355"/>
      <c r="O21" s="356"/>
      <c r="P21" s="401"/>
      <c r="Q21" s="399"/>
      <c r="R21" s="325"/>
      <c r="S21" s="325"/>
      <c r="T21" s="325"/>
      <c r="U21" s="325"/>
    </row>
    <row r="22" spans="1:21" ht="15.75" x14ac:dyDescent="0.25">
      <c r="A22" s="679"/>
      <c r="B22" s="679"/>
      <c r="C22" s="325"/>
      <c r="D22" s="325"/>
      <c r="E22" s="325"/>
      <c r="F22" s="325"/>
      <c r="G22" s="325"/>
      <c r="H22" s="355"/>
      <c r="I22" s="356"/>
      <c r="J22" s="355"/>
      <c r="K22" s="356"/>
      <c r="L22" s="355"/>
      <c r="M22" s="356"/>
      <c r="N22" s="355"/>
      <c r="O22" s="356"/>
      <c r="P22" s="401"/>
      <c r="Q22" s="399"/>
      <c r="R22" s="325"/>
      <c r="S22" s="325"/>
      <c r="T22" s="325"/>
      <c r="U22" s="325"/>
    </row>
    <row r="23" spans="1:21" ht="15.75" x14ac:dyDescent="0.25">
      <c r="A23" s="679"/>
      <c r="B23" s="679"/>
      <c r="C23" s="325"/>
      <c r="D23" s="325"/>
      <c r="E23" s="325"/>
      <c r="F23" s="325"/>
      <c r="G23" s="325"/>
      <c r="H23" s="355"/>
      <c r="I23" s="356"/>
      <c r="J23" s="355"/>
      <c r="K23" s="356"/>
      <c r="L23" s="355"/>
      <c r="M23" s="356"/>
      <c r="N23" s="355"/>
      <c r="O23" s="356"/>
      <c r="P23" s="401">
        <f t="shared" si="1"/>
        <v>0</v>
      </c>
      <c r="Q23" s="399">
        <f t="shared" si="2"/>
        <v>0</v>
      </c>
      <c r="R23" s="325"/>
      <c r="S23" s="325"/>
      <c r="T23" s="325"/>
      <c r="U23" s="325"/>
    </row>
    <row r="24" spans="1:21" ht="15.75" x14ac:dyDescent="0.25">
      <c r="A24" s="679"/>
      <c r="B24" s="680"/>
      <c r="C24" s="325"/>
      <c r="D24" s="325"/>
      <c r="E24" s="325"/>
      <c r="F24" s="325"/>
      <c r="G24" s="325"/>
      <c r="H24" s="355"/>
      <c r="I24" s="356"/>
      <c r="J24" s="355"/>
      <c r="K24" s="356"/>
      <c r="L24" s="355"/>
      <c r="M24" s="356"/>
      <c r="N24" s="355"/>
      <c r="O24" s="356"/>
      <c r="P24" s="401">
        <f t="shared" si="1"/>
        <v>0</v>
      </c>
      <c r="Q24" s="399">
        <f t="shared" si="2"/>
        <v>0</v>
      </c>
      <c r="R24" s="325"/>
      <c r="S24" s="325"/>
      <c r="T24" s="325"/>
      <c r="U24" s="325"/>
    </row>
    <row r="25" spans="1:21" ht="15.75" x14ac:dyDescent="0.25">
      <c r="A25" s="679"/>
      <c r="B25" s="678" t="s">
        <v>1480</v>
      </c>
      <c r="C25" s="325"/>
      <c r="D25" s="325"/>
      <c r="E25" s="325"/>
      <c r="F25" s="325"/>
      <c r="G25" s="325"/>
      <c r="H25" s="355"/>
      <c r="I25" s="356"/>
      <c r="J25" s="355"/>
      <c r="K25" s="356"/>
      <c r="L25" s="355"/>
      <c r="M25" s="356"/>
      <c r="N25" s="355"/>
      <c r="O25" s="356"/>
      <c r="P25" s="401">
        <f t="shared" si="1"/>
        <v>0</v>
      </c>
      <c r="Q25" s="399">
        <f t="shared" si="2"/>
        <v>0</v>
      </c>
      <c r="R25" s="325"/>
      <c r="S25" s="325"/>
      <c r="T25" s="325"/>
      <c r="U25" s="325"/>
    </row>
    <row r="26" spans="1:21" ht="15.75" x14ac:dyDescent="0.25">
      <c r="A26" s="679"/>
      <c r="B26" s="679"/>
      <c r="C26" s="325"/>
      <c r="D26" s="325"/>
      <c r="E26" s="325"/>
      <c r="F26" s="325"/>
      <c r="G26" s="325"/>
      <c r="H26" s="355"/>
      <c r="I26" s="356"/>
      <c r="J26" s="355"/>
      <c r="K26" s="356"/>
      <c r="L26" s="355"/>
      <c r="M26" s="356"/>
      <c r="N26" s="355"/>
      <c r="O26" s="356"/>
      <c r="P26" s="401">
        <f t="shared" ref="P26:Q30" si="3">H26+J26+L26+N26</f>
        <v>0</v>
      </c>
      <c r="Q26" s="399">
        <f t="shared" si="3"/>
        <v>0</v>
      </c>
      <c r="R26" s="325"/>
      <c r="S26" s="325"/>
      <c r="T26" s="325"/>
      <c r="U26" s="325"/>
    </row>
    <row r="27" spans="1:21" ht="15.75" x14ac:dyDescent="0.25">
      <c r="A27" s="679"/>
      <c r="B27" s="679"/>
      <c r="C27" s="325"/>
      <c r="D27" s="325"/>
      <c r="E27" s="325"/>
      <c r="F27" s="325"/>
      <c r="G27" s="325"/>
      <c r="H27" s="355"/>
      <c r="I27" s="356"/>
      <c r="J27" s="355"/>
      <c r="K27" s="356"/>
      <c r="L27" s="355"/>
      <c r="M27" s="356"/>
      <c r="N27" s="355"/>
      <c r="O27" s="356"/>
      <c r="P27" s="401">
        <f t="shared" si="3"/>
        <v>0</v>
      </c>
      <c r="Q27" s="399">
        <f t="shared" si="3"/>
        <v>0</v>
      </c>
      <c r="R27" s="325"/>
      <c r="S27" s="325"/>
      <c r="T27" s="325"/>
      <c r="U27" s="325"/>
    </row>
    <row r="28" spans="1:21" ht="15.75" x14ac:dyDescent="0.25">
      <c r="A28" s="679"/>
      <c r="B28" s="680"/>
      <c r="C28" s="325"/>
      <c r="D28" s="325"/>
      <c r="E28" s="325"/>
      <c r="F28" s="325"/>
      <c r="G28" s="325"/>
      <c r="H28" s="355"/>
      <c r="I28" s="356"/>
      <c r="J28" s="355"/>
      <c r="K28" s="356"/>
      <c r="L28" s="355"/>
      <c r="M28" s="356"/>
      <c r="N28" s="355"/>
      <c r="O28" s="356"/>
      <c r="P28" s="401">
        <f t="shared" si="3"/>
        <v>0</v>
      </c>
      <c r="Q28" s="399">
        <f t="shared" si="3"/>
        <v>0</v>
      </c>
      <c r="R28" s="325"/>
      <c r="S28" s="325"/>
      <c r="T28" s="325"/>
      <c r="U28" s="325"/>
    </row>
    <row r="29" spans="1:21" ht="15.75" x14ac:dyDescent="0.25">
      <c r="A29" s="679"/>
      <c r="B29" s="678" t="s">
        <v>1481</v>
      </c>
      <c r="C29" s="325"/>
      <c r="D29" s="325"/>
      <c r="E29" s="325"/>
      <c r="F29" s="325"/>
      <c r="G29" s="325"/>
      <c r="H29" s="355"/>
      <c r="I29" s="356"/>
      <c r="J29" s="355"/>
      <c r="K29" s="356"/>
      <c r="L29" s="355"/>
      <c r="M29" s="356"/>
      <c r="N29" s="355"/>
      <c r="O29" s="356"/>
      <c r="P29" s="401">
        <f t="shared" si="3"/>
        <v>0</v>
      </c>
      <c r="Q29" s="399">
        <f t="shared" si="3"/>
        <v>0</v>
      </c>
      <c r="R29" s="325"/>
      <c r="S29" s="325"/>
      <c r="T29" s="325"/>
      <c r="U29" s="325"/>
    </row>
    <row r="30" spans="1:21" ht="15.75" x14ac:dyDescent="0.25">
      <c r="A30" s="679"/>
      <c r="B30" s="679"/>
      <c r="C30" s="325"/>
      <c r="D30" s="325"/>
      <c r="E30" s="325"/>
      <c r="F30" s="325"/>
      <c r="G30" s="325"/>
      <c r="H30" s="355"/>
      <c r="I30" s="356"/>
      <c r="J30" s="355"/>
      <c r="K30" s="356"/>
      <c r="L30" s="355"/>
      <c r="M30" s="356"/>
      <c r="N30" s="355"/>
      <c r="O30" s="356"/>
      <c r="P30" s="401">
        <f t="shared" si="3"/>
        <v>0</v>
      </c>
      <c r="Q30" s="399">
        <f t="shared" si="3"/>
        <v>0</v>
      </c>
      <c r="R30" s="325"/>
      <c r="S30" s="325"/>
      <c r="T30" s="325"/>
      <c r="U30" s="325"/>
    </row>
    <row r="31" spans="1:21" ht="15.75" x14ac:dyDescent="0.25">
      <c r="A31" s="679"/>
      <c r="B31" s="679"/>
      <c r="C31" s="325"/>
      <c r="D31" s="325"/>
      <c r="E31" s="325"/>
      <c r="F31" s="325"/>
      <c r="G31" s="325"/>
      <c r="H31" s="355"/>
      <c r="I31" s="356"/>
      <c r="J31" s="355"/>
      <c r="K31" s="356"/>
      <c r="L31" s="355"/>
      <c r="M31" s="356"/>
      <c r="N31" s="355"/>
      <c r="O31" s="356"/>
      <c r="P31" s="401"/>
      <c r="Q31" s="399"/>
      <c r="R31" s="325"/>
      <c r="S31" s="325"/>
      <c r="T31" s="325"/>
      <c r="U31" s="325"/>
    </row>
    <row r="32" spans="1:21" ht="15.75" x14ac:dyDescent="0.25">
      <c r="A32" s="679"/>
      <c r="B32" s="679"/>
      <c r="C32" s="325"/>
      <c r="D32" s="325"/>
      <c r="E32" s="325"/>
      <c r="F32" s="325"/>
      <c r="G32" s="325"/>
      <c r="H32" s="355"/>
      <c r="I32" s="356"/>
      <c r="J32" s="355"/>
      <c r="K32" s="356"/>
      <c r="L32" s="355"/>
      <c r="M32" s="356"/>
      <c r="N32" s="355"/>
      <c r="O32" s="356"/>
      <c r="P32" s="401"/>
      <c r="Q32" s="399"/>
      <c r="R32" s="325"/>
      <c r="S32" s="325"/>
      <c r="T32" s="325"/>
      <c r="U32" s="325"/>
    </row>
    <row r="33" spans="1:21" ht="15.75" x14ac:dyDescent="0.25">
      <c r="A33" s="679"/>
      <c r="B33" s="679"/>
      <c r="C33" s="325"/>
      <c r="D33" s="325"/>
      <c r="E33" s="325"/>
      <c r="F33" s="325"/>
      <c r="G33" s="325"/>
      <c r="H33" s="355"/>
      <c r="I33" s="356"/>
      <c r="J33" s="355"/>
      <c r="K33" s="356"/>
      <c r="L33" s="355"/>
      <c r="M33" s="356"/>
      <c r="N33" s="355"/>
      <c r="O33" s="356"/>
      <c r="P33" s="401"/>
      <c r="Q33" s="399"/>
      <c r="R33" s="325"/>
      <c r="S33" s="325"/>
      <c r="T33" s="325"/>
      <c r="U33" s="325"/>
    </row>
    <row r="34" spans="1:21" ht="15.75" x14ac:dyDescent="0.25">
      <c r="A34" s="679"/>
      <c r="B34" s="679"/>
      <c r="C34" s="325"/>
      <c r="D34" s="325"/>
      <c r="E34" s="325"/>
      <c r="F34" s="325"/>
      <c r="G34" s="325"/>
      <c r="H34" s="355"/>
      <c r="I34" s="356"/>
      <c r="J34" s="355"/>
      <c r="K34" s="356"/>
      <c r="L34" s="355"/>
      <c r="M34" s="356"/>
      <c r="N34" s="355"/>
      <c r="O34" s="356"/>
      <c r="P34" s="401"/>
      <c r="Q34" s="399"/>
      <c r="R34" s="325"/>
      <c r="S34" s="325"/>
      <c r="T34" s="325"/>
      <c r="U34" s="325"/>
    </row>
    <row r="35" spans="1:21" ht="15.75" x14ac:dyDescent="0.25">
      <c r="A35" s="679"/>
      <c r="B35" s="679"/>
      <c r="C35" s="325"/>
      <c r="D35" s="325"/>
      <c r="E35" s="325"/>
      <c r="F35" s="325"/>
      <c r="G35" s="325"/>
      <c r="H35" s="355"/>
      <c r="I35" s="356"/>
      <c r="J35" s="355"/>
      <c r="K35" s="356"/>
      <c r="L35" s="355"/>
      <c r="M35" s="356"/>
      <c r="N35" s="355"/>
      <c r="O35" s="356"/>
      <c r="P35" s="401">
        <f>H35+J35+L35+N35</f>
        <v>0</v>
      </c>
      <c r="Q35" s="399">
        <f>I35+K35+M35+O35</f>
        <v>0</v>
      </c>
      <c r="R35" s="325"/>
      <c r="S35" s="325"/>
      <c r="T35" s="325"/>
      <c r="U35" s="325"/>
    </row>
    <row r="36" spans="1:21" ht="15.75" x14ac:dyDescent="0.25">
      <c r="A36" s="679"/>
      <c r="B36" s="679"/>
      <c r="C36" s="325"/>
      <c r="D36" s="325"/>
      <c r="E36" s="325"/>
      <c r="F36" s="325"/>
      <c r="G36" s="325"/>
      <c r="H36" s="355"/>
      <c r="I36" s="356"/>
      <c r="J36" s="355"/>
      <c r="K36" s="356"/>
      <c r="L36" s="355"/>
      <c r="M36" s="356"/>
      <c r="N36" s="355"/>
      <c r="O36" s="356"/>
      <c r="P36" s="401"/>
      <c r="Q36" s="399"/>
      <c r="R36" s="325"/>
      <c r="S36" s="325"/>
      <c r="T36" s="325"/>
      <c r="U36" s="325"/>
    </row>
    <row r="37" spans="1:21" ht="15.75" x14ac:dyDescent="0.25">
      <c r="A37" s="679"/>
      <c r="B37" s="679"/>
      <c r="C37" s="325"/>
      <c r="D37" s="325"/>
      <c r="E37" s="325"/>
      <c r="F37" s="325"/>
      <c r="G37" s="325"/>
      <c r="H37" s="355"/>
      <c r="I37" s="356"/>
      <c r="J37" s="355"/>
      <c r="K37" s="356"/>
      <c r="L37" s="355"/>
      <c r="M37" s="356"/>
      <c r="N37" s="355"/>
      <c r="O37" s="356"/>
      <c r="P37" s="401"/>
      <c r="Q37" s="399"/>
      <c r="R37" s="325"/>
      <c r="S37" s="325"/>
      <c r="T37" s="325"/>
      <c r="U37" s="325"/>
    </row>
    <row r="38" spans="1:21" ht="15.75" x14ac:dyDescent="0.25">
      <c r="A38" s="679"/>
      <c r="B38" s="679"/>
      <c r="C38" s="325"/>
      <c r="D38" s="325"/>
      <c r="E38" s="325"/>
      <c r="F38" s="325"/>
      <c r="G38" s="325"/>
      <c r="H38" s="355"/>
      <c r="I38" s="356"/>
      <c r="J38" s="355"/>
      <c r="K38" s="356"/>
      <c r="L38" s="355"/>
      <c r="M38" s="356"/>
      <c r="N38" s="355"/>
      <c r="O38" s="356"/>
      <c r="P38" s="401"/>
      <c r="Q38" s="399"/>
      <c r="R38" s="325"/>
      <c r="S38" s="325"/>
      <c r="T38" s="325"/>
      <c r="U38" s="325"/>
    </row>
    <row r="39" spans="1:21" ht="15.75" x14ac:dyDescent="0.25">
      <c r="A39" s="679"/>
      <c r="B39" s="679"/>
      <c r="C39" s="325"/>
      <c r="D39" s="325"/>
      <c r="E39" s="325"/>
      <c r="F39" s="325"/>
      <c r="G39" s="325"/>
      <c r="H39" s="355"/>
      <c r="I39" s="356"/>
      <c r="J39" s="355"/>
      <c r="K39" s="356"/>
      <c r="L39" s="355"/>
      <c r="M39" s="356"/>
      <c r="N39" s="355"/>
      <c r="O39" s="356"/>
      <c r="P39" s="401"/>
      <c r="Q39" s="399"/>
      <c r="R39" s="325"/>
      <c r="S39" s="325"/>
      <c r="T39" s="325"/>
      <c r="U39" s="325"/>
    </row>
    <row r="40" spans="1:21" ht="15.75" x14ac:dyDescent="0.25">
      <c r="A40" s="680"/>
      <c r="B40" s="680"/>
      <c r="C40" s="325"/>
      <c r="D40" s="325"/>
      <c r="E40" s="325"/>
      <c r="F40" s="325"/>
      <c r="G40" s="325"/>
      <c r="H40" s="355"/>
      <c r="I40" s="356"/>
      <c r="J40" s="355"/>
      <c r="K40" s="356"/>
      <c r="L40" s="355"/>
      <c r="M40" s="356"/>
      <c r="N40" s="355"/>
      <c r="O40" s="356"/>
      <c r="P40" s="401"/>
      <c r="Q40" s="399"/>
      <c r="R40" s="325"/>
      <c r="S40" s="325"/>
      <c r="T40" s="325"/>
      <c r="U40" s="325"/>
    </row>
    <row r="41" spans="1:21" ht="15.75" x14ac:dyDescent="0.25">
      <c r="A41" s="678" t="s">
        <v>1482</v>
      </c>
      <c r="B41" s="678" t="s">
        <v>1483</v>
      </c>
      <c r="C41" s="325"/>
      <c r="D41" s="325"/>
      <c r="E41" s="325"/>
      <c r="F41" s="325"/>
      <c r="G41" s="325"/>
      <c r="H41" s="355"/>
      <c r="I41" s="356"/>
      <c r="J41" s="355"/>
      <c r="K41" s="356"/>
      <c r="L41" s="355"/>
      <c r="M41" s="356"/>
      <c r="N41" s="355"/>
      <c r="O41" s="356"/>
      <c r="P41" s="401"/>
      <c r="Q41" s="399"/>
      <c r="R41" s="325"/>
      <c r="S41" s="325"/>
      <c r="T41" s="325"/>
      <c r="U41" s="325"/>
    </row>
    <row r="42" spans="1:21" ht="15.75" x14ac:dyDescent="0.25">
      <c r="A42" s="679"/>
      <c r="B42" s="679"/>
      <c r="C42" s="325"/>
      <c r="D42" s="325"/>
      <c r="E42" s="325"/>
      <c r="F42" s="325"/>
      <c r="G42" s="325"/>
      <c r="H42" s="355"/>
      <c r="I42" s="356"/>
      <c r="J42" s="355"/>
      <c r="K42" s="356"/>
      <c r="L42" s="355"/>
      <c r="M42" s="356"/>
      <c r="N42" s="355"/>
      <c r="O42" s="356"/>
      <c r="P42" s="401"/>
      <c r="Q42" s="399"/>
      <c r="R42" s="325"/>
      <c r="S42" s="325"/>
      <c r="T42" s="325"/>
      <c r="U42" s="325"/>
    </row>
    <row r="43" spans="1:21" ht="15.75" x14ac:dyDescent="0.25">
      <c r="A43" s="679"/>
      <c r="B43" s="679"/>
      <c r="C43" s="325"/>
      <c r="D43" s="325"/>
      <c r="E43" s="325"/>
      <c r="F43" s="325"/>
      <c r="G43" s="325"/>
      <c r="H43" s="355"/>
      <c r="I43" s="356"/>
      <c r="J43" s="355"/>
      <c r="K43" s="356"/>
      <c r="L43" s="355"/>
      <c r="M43" s="356"/>
      <c r="N43" s="355"/>
      <c r="O43" s="356"/>
      <c r="P43" s="401"/>
      <c r="Q43" s="399"/>
      <c r="R43" s="325"/>
      <c r="S43" s="325"/>
      <c r="T43" s="325"/>
      <c r="U43" s="325"/>
    </row>
    <row r="44" spans="1:21" ht="15.75" x14ac:dyDescent="0.25">
      <c r="A44" s="679"/>
      <c r="B44" s="679"/>
      <c r="C44" s="325"/>
      <c r="D44" s="325"/>
      <c r="E44" s="325"/>
      <c r="F44" s="325"/>
      <c r="G44" s="325"/>
      <c r="H44" s="355"/>
      <c r="I44" s="356"/>
      <c r="J44" s="355"/>
      <c r="K44" s="356"/>
      <c r="L44" s="355"/>
      <c r="M44" s="356"/>
      <c r="N44" s="355"/>
      <c r="O44" s="356"/>
      <c r="P44" s="401"/>
      <c r="Q44" s="399"/>
      <c r="R44" s="325"/>
      <c r="S44" s="325"/>
      <c r="T44" s="325"/>
      <c r="U44" s="325"/>
    </row>
    <row r="45" spans="1:21" ht="15.75" x14ac:dyDescent="0.25">
      <c r="A45" s="679"/>
      <c r="B45" s="679"/>
      <c r="C45" s="325"/>
      <c r="D45" s="325"/>
      <c r="E45" s="325"/>
      <c r="F45" s="325"/>
      <c r="G45" s="325"/>
      <c r="H45" s="355"/>
      <c r="I45" s="356"/>
      <c r="J45" s="355"/>
      <c r="K45" s="356"/>
      <c r="L45" s="355"/>
      <c r="M45" s="356"/>
      <c r="N45" s="355"/>
      <c r="O45" s="356"/>
      <c r="P45" s="401"/>
      <c r="Q45" s="399"/>
      <c r="R45" s="325"/>
      <c r="S45" s="325"/>
      <c r="T45" s="325"/>
      <c r="U45" s="325"/>
    </row>
    <row r="46" spans="1:21" ht="15.75" x14ac:dyDescent="0.25">
      <c r="A46" s="679"/>
      <c r="B46" s="679"/>
      <c r="C46" s="325"/>
      <c r="D46" s="325"/>
      <c r="E46" s="325"/>
      <c r="F46" s="325"/>
      <c r="G46" s="325"/>
      <c r="H46" s="355"/>
      <c r="I46" s="356"/>
      <c r="J46" s="355"/>
      <c r="K46" s="356"/>
      <c r="L46" s="355"/>
      <c r="M46" s="356"/>
      <c r="N46" s="355"/>
      <c r="O46" s="356"/>
      <c r="P46" s="401"/>
      <c r="Q46" s="399"/>
      <c r="R46" s="325"/>
      <c r="S46" s="325"/>
      <c r="T46" s="325"/>
      <c r="U46" s="325"/>
    </row>
    <row r="47" spans="1:21" ht="15.75" x14ac:dyDescent="0.25">
      <c r="A47" s="679"/>
      <c r="B47" s="679"/>
      <c r="C47" s="325"/>
      <c r="D47" s="325"/>
      <c r="E47" s="325"/>
      <c r="F47" s="325"/>
      <c r="G47" s="325"/>
      <c r="H47" s="355"/>
      <c r="I47" s="356"/>
      <c r="J47" s="355"/>
      <c r="K47" s="356"/>
      <c r="L47" s="355"/>
      <c r="M47" s="356"/>
      <c r="N47" s="355"/>
      <c r="O47" s="356"/>
      <c r="P47" s="401">
        <f t="shared" ref="P47:Q50" si="4">H47+J47+L47+N47</f>
        <v>0</v>
      </c>
      <c r="Q47" s="399">
        <f t="shared" si="4"/>
        <v>0</v>
      </c>
      <c r="R47" s="325"/>
      <c r="S47" s="325"/>
      <c r="T47" s="325"/>
      <c r="U47" s="325"/>
    </row>
    <row r="48" spans="1:21" ht="15.75" x14ac:dyDescent="0.25">
      <c r="A48" s="679"/>
      <c r="B48" s="679"/>
      <c r="C48" s="325"/>
      <c r="D48" s="325"/>
      <c r="E48" s="325"/>
      <c r="F48" s="325"/>
      <c r="G48" s="325"/>
      <c r="H48" s="355"/>
      <c r="I48" s="356"/>
      <c r="J48" s="355"/>
      <c r="K48" s="356"/>
      <c r="L48" s="355"/>
      <c r="M48" s="356"/>
      <c r="N48" s="355"/>
      <c r="O48" s="356"/>
      <c r="P48" s="401">
        <f t="shared" si="4"/>
        <v>0</v>
      </c>
      <c r="Q48" s="399">
        <f t="shared" si="4"/>
        <v>0</v>
      </c>
      <c r="R48" s="325"/>
      <c r="S48" s="325"/>
      <c r="T48" s="325"/>
      <c r="U48" s="325"/>
    </row>
    <row r="49" spans="1:21" ht="15.75" x14ac:dyDescent="0.25">
      <c r="A49" s="679"/>
      <c r="B49" s="680"/>
      <c r="C49" s="325"/>
      <c r="D49" s="325"/>
      <c r="E49" s="325"/>
      <c r="F49" s="325"/>
      <c r="G49" s="325"/>
      <c r="H49" s="355"/>
      <c r="I49" s="356"/>
      <c r="J49" s="355"/>
      <c r="K49" s="356"/>
      <c r="L49" s="355"/>
      <c r="M49" s="356"/>
      <c r="N49" s="355"/>
      <c r="O49" s="356"/>
      <c r="P49" s="401">
        <f t="shared" si="4"/>
        <v>0</v>
      </c>
      <c r="Q49" s="399">
        <f t="shared" si="4"/>
        <v>0</v>
      </c>
      <c r="R49" s="325"/>
      <c r="S49" s="325"/>
      <c r="T49" s="325"/>
      <c r="U49" s="325"/>
    </row>
    <row r="50" spans="1:21" ht="15.75" x14ac:dyDescent="0.25">
      <c r="A50" s="679"/>
      <c r="B50" s="678" t="s">
        <v>1484</v>
      </c>
      <c r="C50" s="325"/>
      <c r="D50" s="325"/>
      <c r="E50" s="325"/>
      <c r="F50" s="325"/>
      <c r="G50" s="325"/>
      <c r="H50" s="355"/>
      <c r="I50" s="356"/>
      <c r="J50" s="355"/>
      <c r="K50" s="356"/>
      <c r="L50" s="355"/>
      <c r="M50" s="356"/>
      <c r="N50" s="355"/>
      <c r="O50" s="356"/>
      <c r="P50" s="401">
        <f t="shared" si="4"/>
        <v>0</v>
      </c>
      <c r="Q50" s="399">
        <f t="shared" si="4"/>
        <v>0</v>
      </c>
      <c r="R50" s="325"/>
      <c r="S50" s="325"/>
      <c r="T50" s="325"/>
      <c r="U50" s="325"/>
    </row>
    <row r="51" spans="1:21" ht="15.75" x14ac:dyDescent="0.25">
      <c r="A51" s="679"/>
      <c r="B51" s="679"/>
      <c r="C51" s="325"/>
      <c r="D51" s="325"/>
      <c r="E51" s="325"/>
      <c r="F51" s="325"/>
      <c r="G51" s="325"/>
      <c r="H51" s="355"/>
      <c r="I51" s="356"/>
      <c r="J51" s="355"/>
      <c r="K51" s="356"/>
      <c r="L51" s="355"/>
      <c r="M51" s="356"/>
      <c r="N51" s="355"/>
      <c r="O51" s="356"/>
      <c r="P51" s="401"/>
      <c r="Q51" s="399"/>
      <c r="R51" s="325"/>
      <c r="S51" s="325"/>
      <c r="T51" s="325"/>
      <c r="U51" s="325"/>
    </row>
    <row r="52" spans="1:21" ht="15.75" x14ac:dyDescent="0.25">
      <c r="A52" s="679"/>
      <c r="B52" s="679"/>
      <c r="C52" s="325"/>
      <c r="D52" s="325"/>
      <c r="E52" s="325"/>
      <c r="F52" s="325"/>
      <c r="G52" s="325"/>
      <c r="H52" s="355"/>
      <c r="I52" s="356"/>
      <c r="J52" s="355"/>
      <c r="K52" s="356"/>
      <c r="L52" s="355"/>
      <c r="M52" s="356"/>
      <c r="N52" s="355"/>
      <c r="O52" s="356"/>
      <c r="P52" s="401"/>
      <c r="Q52" s="399"/>
      <c r="R52" s="325"/>
      <c r="S52" s="325"/>
      <c r="T52" s="325"/>
      <c r="U52" s="325"/>
    </row>
    <row r="53" spans="1:21" ht="15.75" x14ac:dyDescent="0.25">
      <c r="A53" s="679"/>
      <c r="B53" s="679"/>
      <c r="C53" s="325"/>
      <c r="D53" s="325"/>
      <c r="E53" s="325"/>
      <c r="F53" s="325"/>
      <c r="G53" s="325"/>
      <c r="H53" s="355"/>
      <c r="I53" s="356"/>
      <c r="J53" s="355"/>
      <c r="K53" s="356"/>
      <c r="L53" s="355"/>
      <c r="M53" s="356"/>
      <c r="N53" s="355"/>
      <c r="O53" s="356"/>
      <c r="P53" s="401"/>
      <c r="Q53" s="399"/>
      <c r="R53" s="325"/>
      <c r="S53" s="325"/>
      <c r="T53" s="325"/>
      <c r="U53" s="325"/>
    </row>
    <row r="54" spans="1:21" ht="15.75" x14ac:dyDescent="0.25">
      <c r="A54" s="679"/>
      <c r="B54" s="679"/>
      <c r="C54" s="325"/>
      <c r="D54" s="325"/>
      <c r="E54" s="325"/>
      <c r="F54" s="325"/>
      <c r="G54" s="325"/>
      <c r="H54" s="355"/>
      <c r="I54" s="356"/>
      <c r="J54" s="355"/>
      <c r="K54" s="356"/>
      <c r="L54" s="355"/>
      <c r="M54" s="356"/>
      <c r="N54" s="355"/>
      <c r="O54" s="356"/>
      <c r="P54" s="401"/>
      <c r="Q54" s="399"/>
      <c r="R54" s="325"/>
      <c r="S54" s="325"/>
      <c r="T54" s="325"/>
      <c r="U54" s="325"/>
    </row>
    <row r="55" spans="1:21" ht="15.75" x14ac:dyDescent="0.25">
      <c r="A55" s="679"/>
      <c r="B55" s="679"/>
      <c r="C55" s="325"/>
      <c r="D55" s="325"/>
      <c r="E55" s="325"/>
      <c r="F55" s="325"/>
      <c r="G55" s="325"/>
      <c r="H55" s="355"/>
      <c r="I55" s="356"/>
      <c r="J55" s="355"/>
      <c r="K55" s="356"/>
      <c r="L55" s="355"/>
      <c r="M55" s="356"/>
      <c r="N55" s="355"/>
      <c r="O55" s="356"/>
      <c r="P55" s="401"/>
      <c r="Q55" s="399"/>
      <c r="R55" s="325"/>
      <c r="S55" s="325"/>
      <c r="T55" s="325"/>
      <c r="U55" s="325"/>
    </row>
    <row r="56" spans="1:21" ht="15.75" x14ac:dyDescent="0.25">
      <c r="A56" s="679"/>
      <c r="B56" s="679"/>
      <c r="C56" s="325"/>
      <c r="D56" s="325"/>
      <c r="E56" s="325"/>
      <c r="F56" s="325"/>
      <c r="G56" s="325"/>
      <c r="H56" s="355"/>
      <c r="I56" s="356"/>
      <c r="J56" s="355"/>
      <c r="K56" s="356"/>
      <c r="L56" s="355"/>
      <c r="M56" s="356"/>
      <c r="N56" s="355"/>
      <c r="O56" s="356"/>
      <c r="P56" s="401"/>
      <c r="Q56" s="399"/>
      <c r="R56" s="325"/>
      <c r="S56" s="325"/>
      <c r="T56" s="325"/>
      <c r="U56" s="325"/>
    </row>
    <row r="57" spans="1:21" ht="15.75" x14ac:dyDescent="0.25">
      <c r="A57" s="679"/>
      <c r="B57" s="679"/>
      <c r="C57" s="325"/>
      <c r="D57" s="325"/>
      <c r="E57" s="325"/>
      <c r="F57" s="325"/>
      <c r="G57" s="325"/>
      <c r="H57" s="355"/>
      <c r="I57" s="356"/>
      <c r="J57" s="355"/>
      <c r="K57" s="356"/>
      <c r="L57" s="355"/>
      <c r="M57" s="356"/>
      <c r="N57" s="355"/>
      <c r="O57" s="356"/>
      <c r="P57" s="401"/>
      <c r="Q57" s="399"/>
      <c r="R57" s="325"/>
      <c r="S57" s="325"/>
      <c r="T57" s="325"/>
      <c r="U57" s="325"/>
    </row>
    <row r="58" spans="1:21" ht="15.75" x14ac:dyDescent="0.25">
      <c r="A58" s="679"/>
      <c r="B58" s="679"/>
      <c r="C58" s="325"/>
      <c r="D58" s="325"/>
      <c r="E58" s="325"/>
      <c r="F58" s="325"/>
      <c r="G58" s="325"/>
      <c r="H58" s="355"/>
      <c r="I58" s="356"/>
      <c r="J58" s="355"/>
      <c r="K58" s="356"/>
      <c r="L58" s="355"/>
      <c r="M58" s="356"/>
      <c r="N58" s="355"/>
      <c r="O58" s="356"/>
      <c r="P58" s="401"/>
      <c r="Q58" s="399"/>
      <c r="R58" s="325"/>
      <c r="S58" s="325"/>
      <c r="T58" s="325"/>
      <c r="U58" s="325"/>
    </row>
    <row r="59" spans="1:21" ht="15.75" x14ac:dyDescent="0.25">
      <c r="A59" s="679"/>
      <c r="B59" s="679"/>
      <c r="C59" s="325"/>
      <c r="D59" s="325"/>
      <c r="E59" s="325"/>
      <c r="F59" s="325"/>
      <c r="G59" s="325"/>
      <c r="H59" s="355"/>
      <c r="I59" s="356"/>
      <c r="J59" s="355"/>
      <c r="K59" s="356"/>
      <c r="L59" s="355"/>
      <c r="M59" s="356"/>
      <c r="N59" s="355"/>
      <c r="O59" s="356"/>
      <c r="P59" s="401"/>
      <c r="Q59" s="399"/>
      <c r="R59" s="325"/>
      <c r="S59" s="325"/>
      <c r="T59" s="325"/>
      <c r="U59" s="325"/>
    </row>
    <row r="60" spans="1:21" ht="15.75" x14ac:dyDescent="0.25">
      <c r="A60" s="679"/>
      <c r="B60" s="679"/>
      <c r="C60" s="325"/>
      <c r="D60" s="325"/>
      <c r="E60" s="325"/>
      <c r="F60" s="325"/>
      <c r="G60" s="325"/>
      <c r="H60" s="355"/>
      <c r="I60" s="356"/>
      <c r="J60" s="355"/>
      <c r="K60" s="356"/>
      <c r="L60" s="355"/>
      <c r="M60" s="356"/>
      <c r="N60" s="355"/>
      <c r="O60" s="356"/>
      <c r="P60" s="401"/>
      <c r="Q60" s="399"/>
      <c r="R60" s="325"/>
      <c r="S60" s="325"/>
      <c r="T60" s="325"/>
      <c r="U60" s="325"/>
    </row>
    <row r="61" spans="1:21" ht="15.75" x14ac:dyDescent="0.25">
      <c r="A61" s="679"/>
      <c r="B61" s="679"/>
      <c r="C61" s="325"/>
      <c r="D61" s="325"/>
      <c r="E61" s="325"/>
      <c r="F61" s="325"/>
      <c r="G61" s="325"/>
      <c r="H61" s="355"/>
      <c r="I61" s="356"/>
      <c r="J61" s="355"/>
      <c r="K61" s="356"/>
      <c r="L61" s="355"/>
      <c r="M61" s="356"/>
      <c r="N61" s="355"/>
      <c r="O61" s="356"/>
      <c r="P61" s="401"/>
      <c r="Q61" s="399"/>
      <c r="R61" s="325"/>
      <c r="S61" s="325"/>
      <c r="T61" s="325"/>
      <c r="U61" s="325"/>
    </row>
    <row r="62" spans="1:21" ht="15.75" x14ac:dyDescent="0.25">
      <c r="A62" s="680"/>
      <c r="B62" s="680"/>
      <c r="C62" s="325"/>
      <c r="D62" s="325"/>
      <c r="E62" s="325"/>
      <c r="F62" s="325"/>
      <c r="G62" s="325"/>
      <c r="H62" s="355"/>
      <c r="I62" s="356"/>
      <c r="J62" s="355"/>
      <c r="K62" s="356"/>
      <c r="L62" s="355"/>
      <c r="M62" s="356"/>
      <c r="N62" s="355"/>
      <c r="O62" s="356"/>
      <c r="P62" s="401">
        <f>H62+J62+L62+N62</f>
        <v>0</v>
      </c>
      <c r="Q62" s="399">
        <f>I62+K62+M62+O62</f>
        <v>0</v>
      </c>
      <c r="R62" s="325"/>
      <c r="S62" s="325"/>
      <c r="T62" s="325"/>
      <c r="U62" s="325"/>
    </row>
    <row r="63" spans="1:21" ht="15.75" x14ac:dyDescent="0.25">
      <c r="A63" s="678" t="s">
        <v>1485</v>
      </c>
      <c r="B63" s="412"/>
      <c r="C63" s="325"/>
      <c r="D63" s="325"/>
      <c r="E63" s="325"/>
      <c r="F63" s="325"/>
      <c r="G63" s="325"/>
      <c r="H63" s="355"/>
      <c r="I63" s="356"/>
      <c r="J63" s="355"/>
      <c r="K63" s="356"/>
      <c r="L63" s="355"/>
      <c r="M63" s="356"/>
      <c r="N63" s="355"/>
      <c r="O63" s="356"/>
      <c r="P63" s="401">
        <f>H63+J63+L63+N63</f>
        <v>0</v>
      </c>
      <c r="Q63" s="399">
        <f>I63+K63+M63+O63</f>
        <v>0</v>
      </c>
      <c r="R63" s="325"/>
      <c r="S63" s="325"/>
      <c r="T63" s="325"/>
      <c r="U63" s="325"/>
    </row>
    <row r="64" spans="1:21" ht="15.75" x14ac:dyDescent="0.25">
      <c r="A64" s="679"/>
      <c r="B64" s="412"/>
      <c r="C64" s="325"/>
      <c r="D64" s="325"/>
      <c r="E64" s="325"/>
      <c r="F64" s="325"/>
      <c r="G64" s="325"/>
      <c r="H64" s="355"/>
      <c r="I64" s="356"/>
      <c r="J64" s="355"/>
      <c r="K64" s="356"/>
      <c r="L64" s="355"/>
      <c r="M64" s="356"/>
      <c r="N64" s="355"/>
      <c r="O64" s="356"/>
      <c r="P64" s="401"/>
      <c r="Q64" s="399"/>
      <c r="R64" s="325"/>
      <c r="S64" s="325"/>
      <c r="T64" s="325"/>
      <c r="U64" s="325"/>
    </row>
    <row r="65" spans="1:21" ht="15.75" x14ac:dyDescent="0.25">
      <c r="A65" s="679"/>
      <c r="B65" s="412"/>
      <c r="C65" s="325"/>
      <c r="D65" s="325"/>
      <c r="E65" s="325"/>
      <c r="F65" s="325"/>
      <c r="G65" s="325"/>
      <c r="H65" s="355"/>
      <c r="I65" s="356"/>
      <c r="J65" s="355"/>
      <c r="K65" s="356"/>
      <c r="L65" s="355"/>
      <c r="M65" s="356"/>
      <c r="N65" s="355"/>
      <c r="O65" s="356"/>
      <c r="P65" s="401"/>
      <c r="Q65" s="399"/>
      <c r="R65" s="325"/>
      <c r="S65" s="325"/>
      <c r="T65" s="325"/>
      <c r="U65" s="325"/>
    </row>
    <row r="66" spans="1:21" ht="15.75" x14ac:dyDescent="0.25">
      <c r="A66" s="679"/>
      <c r="B66" s="412"/>
      <c r="C66" s="325"/>
      <c r="D66" s="325"/>
      <c r="E66" s="325"/>
      <c r="F66" s="325"/>
      <c r="G66" s="325"/>
      <c r="H66" s="355"/>
      <c r="I66" s="356"/>
      <c r="J66" s="355"/>
      <c r="K66" s="356"/>
      <c r="L66" s="355"/>
      <c r="M66" s="356"/>
      <c r="N66" s="355"/>
      <c r="O66" s="356"/>
      <c r="P66" s="401"/>
      <c r="Q66" s="399"/>
      <c r="R66" s="325"/>
      <c r="S66" s="325"/>
      <c r="T66" s="325"/>
      <c r="U66" s="325"/>
    </row>
    <row r="67" spans="1:21" ht="15.75" x14ac:dyDescent="0.25">
      <c r="A67" s="679"/>
      <c r="B67" s="412"/>
      <c r="C67" s="325"/>
      <c r="D67" s="325"/>
      <c r="E67" s="325"/>
      <c r="F67" s="325"/>
      <c r="G67" s="325"/>
      <c r="H67" s="355"/>
      <c r="I67" s="356"/>
      <c r="J67" s="355"/>
      <c r="K67" s="356"/>
      <c r="L67" s="355"/>
      <c r="M67" s="356"/>
      <c r="N67" s="355"/>
      <c r="O67" s="356"/>
      <c r="P67" s="401"/>
      <c r="Q67" s="399"/>
      <c r="R67" s="325"/>
      <c r="S67" s="325"/>
      <c r="T67" s="325"/>
      <c r="U67" s="325"/>
    </row>
    <row r="68" spans="1:21" ht="15.75" x14ac:dyDescent="0.25">
      <c r="A68" s="679"/>
      <c r="B68" s="412"/>
      <c r="C68" s="325"/>
      <c r="D68" s="325"/>
      <c r="E68" s="325"/>
      <c r="F68" s="325"/>
      <c r="G68" s="325"/>
      <c r="H68" s="355"/>
      <c r="I68" s="356"/>
      <c r="J68" s="355"/>
      <c r="K68" s="356"/>
      <c r="L68" s="355"/>
      <c r="M68" s="356"/>
      <c r="N68" s="355"/>
      <c r="O68" s="356"/>
      <c r="P68" s="401">
        <f>H68+J68+L68+N68</f>
        <v>0</v>
      </c>
      <c r="Q68" s="399">
        <f>I68+K68+M68+O68</f>
        <v>0</v>
      </c>
      <c r="R68" s="325"/>
      <c r="S68" s="325"/>
      <c r="T68" s="325"/>
      <c r="U68" s="325"/>
    </row>
    <row r="69" spans="1:21" ht="15.75" x14ac:dyDescent="0.25">
      <c r="A69" s="680"/>
      <c r="B69" s="412"/>
      <c r="C69" s="325"/>
      <c r="D69" s="325"/>
      <c r="E69" s="325"/>
      <c r="F69" s="325"/>
      <c r="G69" s="325"/>
      <c r="H69" s="325"/>
      <c r="I69" s="356"/>
      <c r="J69" s="325"/>
      <c r="K69" s="356"/>
      <c r="L69" s="325"/>
      <c r="M69" s="356"/>
      <c r="N69" s="325"/>
      <c r="O69" s="356"/>
      <c r="P69" s="401">
        <f>H69+J69+L69+N69</f>
        <v>0</v>
      </c>
      <c r="Q69" s="399">
        <f>I69+K69+M69+O69</f>
        <v>0</v>
      </c>
      <c r="R69" s="71"/>
      <c r="S69" s="325"/>
      <c r="T69" s="325"/>
      <c r="U69" s="325"/>
    </row>
    <row r="70" spans="1:21" ht="15.75" x14ac:dyDescent="0.25">
      <c r="A70" s="294"/>
      <c r="B70" s="295"/>
      <c r="C70" s="295"/>
      <c r="D70" s="295"/>
      <c r="E70" s="294" t="s">
        <v>1470</v>
      </c>
      <c r="F70" s="295"/>
      <c r="G70" s="296"/>
      <c r="H70" s="75">
        <f t="shared" ref="H70:Q70" si="5">SUM(H10:H69)</f>
        <v>0</v>
      </c>
      <c r="I70" s="235">
        <f t="shared" si="5"/>
        <v>0</v>
      </c>
      <c r="J70" s="75">
        <f t="shared" si="5"/>
        <v>0</v>
      </c>
      <c r="K70" s="235">
        <f t="shared" si="5"/>
        <v>0</v>
      </c>
      <c r="L70" s="75">
        <f t="shared" si="5"/>
        <v>0</v>
      </c>
      <c r="M70" s="235">
        <f t="shared" si="5"/>
        <v>0</v>
      </c>
      <c r="N70" s="75">
        <f t="shared" si="5"/>
        <v>0</v>
      </c>
      <c r="O70" s="235">
        <f t="shared" si="5"/>
        <v>0</v>
      </c>
      <c r="P70" s="235">
        <f t="shared" si="5"/>
        <v>0</v>
      </c>
      <c r="Q70" s="235">
        <f t="shared" si="5"/>
        <v>0</v>
      </c>
      <c r="R70" s="68"/>
      <c r="S70" s="68"/>
      <c r="T70" s="68"/>
      <c r="U70" s="68"/>
    </row>
    <row r="77" spans="1:21" x14ac:dyDescent="0.25">
      <c r="C77" s="462"/>
    </row>
    <row r="78" spans="1:21" x14ac:dyDescent="0.25">
      <c r="C78" s="462"/>
    </row>
    <row r="79" spans="1:21" x14ac:dyDescent="0.25">
      <c r="C79" s="462"/>
    </row>
    <row r="80" spans="1:21" x14ac:dyDescent="0.25">
      <c r="C80" s="462"/>
    </row>
    <row r="81" spans="3:3" x14ac:dyDescent="0.25">
      <c r="C81" s="462"/>
    </row>
    <row r="82" spans="3:3" x14ac:dyDescent="0.25">
      <c r="C82" s="462"/>
    </row>
    <row r="83" spans="3:3" x14ac:dyDescent="0.25">
      <c r="C83" s="462"/>
    </row>
    <row r="84" spans="3:3" x14ac:dyDescent="0.25">
      <c r="C84" s="462"/>
    </row>
    <row r="85" spans="3:3" x14ac:dyDescent="0.25">
      <c r="C85" s="462"/>
    </row>
    <row r="86" spans="3:3" x14ac:dyDescent="0.25">
      <c r="C86" s="462"/>
    </row>
    <row r="87" spans="3:3" x14ac:dyDescent="0.25">
      <c r="C87" s="462"/>
    </row>
    <row r="88" spans="3:3" x14ac:dyDescent="0.25">
      <c r="C88" s="462"/>
    </row>
    <row r="89" spans="3:3" x14ac:dyDescent="0.25">
      <c r="C89" s="462"/>
    </row>
    <row r="90" spans="3:3" x14ac:dyDescent="0.25">
      <c r="C90" s="462"/>
    </row>
    <row r="91" spans="3:3" x14ac:dyDescent="0.25">
      <c r="C91" s="462"/>
    </row>
    <row r="92" spans="3:3" x14ac:dyDescent="0.25">
      <c r="C92" s="462"/>
    </row>
    <row r="93" spans="3:3" x14ac:dyDescent="0.25">
      <c r="C93" s="462"/>
    </row>
  </sheetData>
  <mergeCells count="27">
    <mergeCell ref="S6:S8"/>
    <mergeCell ref="T6:T8"/>
    <mergeCell ref="U6:U8"/>
    <mergeCell ref="F1:M1"/>
    <mergeCell ref="G6:G8"/>
    <mergeCell ref="H6:O6"/>
    <mergeCell ref="R6:R8"/>
    <mergeCell ref="P6:Q7"/>
    <mergeCell ref="H7:I7"/>
    <mergeCell ref="J7:K7"/>
    <mergeCell ref="L7:M7"/>
    <mergeCell ref="N7:O7"/>
    <mergeCell ref="A6:A8"/>
    <mergeCell ref="B6:B8"/>
    <mergeCell ref="C6:C8"/>
    <mergeCell ref="E6:E8"/>
    <mergeCell ref="F6:F8"/>
    <mergeCell ref="D6:D8"/>
    <mergeCell ref="A63:A69"/>
    <mergeCell ref="B29:B40"/>
    <mergeCell ref="A10:A40"/>
    <mergeCell ref="B41:B49"/>
    <mergeCell ref="B50:B62"/>
    <mergeCell ref="A41:A62"/>
    <mergeCell ref="B10:B17"/>
    <mergeCell ref="B18:B24"/>
    <mergeCell ref="B25:B28"/>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10:C69">
      <formula1>$O$1:$AE$1</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1"/>
  <sheetViews>
    <sheetView zoomScale="70" zoomScaleNormal="70" workbookViewId="0">
      <pane ySplit="9" topLeftCell="A10" activePane="bottomLeft" state="frozen"/>
      <selection activeCell="K7" sqref="K7"/>
      <selection pane="bottomLeft" activeCell="A27" sqref="A27"/>
    </sheetView>
  </sheetViews>
  <sheetFormatPr baseColWidth="10" defaultRowHeight="15" x14ac:dyDescent="0.25"/>
  <cols>
    <col min="1" max="1" width="35.7109375" style="462" customWidth="1"/>
    <col min="2" max="2" width="35.85546875" style="462" customWidth="1"/>
    <col min="3" max="3" width="31.42578125" style="462" customWidth="1"/>
    <col min="4" max="4" width="27.42578125" style="462" customWidth="1"/>
    <col min="5" max="5" width="14.85546875" style="462" customWidth="1"/>
    <col min="6" max="6" width="14" style="462" customWidth="1"/>
    <col min="7" max="7" width="91.42578125" style="462" customWidth="1"/>
    <col min="8" max="8" width="15.28515625" style="462" customWidth="1"/>
    <col min="9" max="9" width="15.28515625" style="233" bestFit="1" customWidth="1"/>
    <col min="10" max="10" width="15.28515625" style="462" customWidth="1"/>
    <col min="11" max="11" width="18.85546875" style="233" customWidth="1"/>
    <col min="12" max="12" width="11.42578125" style="462"/>
    <col min="13" max="13" width="13.85546875" style="233" bestFit="1" customWidth="1"/>
    <col min="14" max="14" width="11.5703125" style="462" bestFit="1" customWidth="1"/>
    <col min="15" max="15" width="15.28515625" style="233" bestFit="1" customWidth="1"/>
    <col min="16" max="16" width="15.28515625" style="462" customWidth="1"/>
    <col min="17" max="17" width="18.28515625" style="512" customWidth="1"/>
    <col min="18" max="18" width="25.28515625" style="462" customWidth="1"/>
    <col min="19" max="19" width="14.140625" style="462" customWidth="1"/>
    <col min="20" max="20" width="16.140625" style="462" customWidth="1"/>
    <col min="21" max="21" width="17" style="462" customWidth="1"/>
    <col min="22" max="16384" width="11.42578125" style="462"/>
  </cols>
  <sheetData>
    <row r="1" spans="1:42" ht="21" x14ac:dyDescent="0.25">
      <c r="A1" s="407"/>
      <c r="B1" s="407"/>
      <c r="C1" s="407"/>
      <c r="D1" s="407"/>
      <c r="E1" s="407"/>
      <c r="F1" s="738" t="s">
        <v>1501</v>
      </c>
      <c r="G1" s="738"/>
      <c r="H1" s="738"/>
      <c r="I1" s="738"/>
      <c r="J1" s="738"/>
      <c r="K1" s="738"/>
      <c r="L1" s="738"/>
      <c r="M1" s="738"/>
      <c r="N1" s="408"/>
      <c r="O1" s="408"/>
      <c r="P1" s="502" t="s">
        <v>1650</v>
      </c>
      <c r="Q1" s="507" t="s">
        <v>1651</v>
      </c>
      <c r="R1" s="502" t="s">
        <v>1652</v>
      </c>
      <c r="S1" s="502" t="s">
        <v>1653</v>
      </c>
      <c r="T1" s="502" t="s">
        <v>1654</v>
      </c>
      <c r="U1" s="502" t="s">
        <v>1655</v>
      </c>
      <c r="V1" s="502" t="s">
        <v>1656</v>
      </c>
      <c r="W1" s="502" t="s">
        <v>1657</v>
      </c>
      <c r="X1" s="502" t="s">
        <v>1658</v>
      </c>
      <c r="Y1" s="502" t="s">
        <v>1659</v>
      </c>
      <c r="Z1" s="502" t="s">
        <v>1660</v>
      </c>
      <c r="AA1" s="502" t="s">
        <v>1661</v>
      </c>
      <c r="AB1" s="502" t="s">
        <v>1662</v>
      </c>
      <c r="AC1" s="502" t="s">
        <v>1663</v>
      </c>
      <c r="AD1" s="502" t="s">
        <v>1664</v>
      </c>
      <c r="AE1" s="506"/>
      <c r="AF1" s="506"/>
      <c r="AG1" s="506"/>
      <c r="AH1" s="506"/>
      <c r="AI1" s="506"/>
      <c r="AJ1" s="506"/>
      <c r="AK1" s="506"/>
      <c r="AL1" s="407"/>
      <c r="AM1" s="407"/>
      <c r="AN1" s="407"/>
      <c r="AO1" s="407"/>
      <c r="AP1" s="407"/>
    </row>
    <row r="2" spans="1:42" ht="18.75" x14ac:dyDescent="0.25">
      <c r="A2" s="406" t="s">
        <v>1353</v>
      </c>
      <c r="B2" s="407"/>
      <c r="C2" s="407"/>
      <c r="D2" s="407"/>
      <c r="E2" s="407"/>
      <c r="F2" s="407"/>
      <c r="G2" s="407"/>
      <c r="H2" s="408"/>
      <c r="I2" s="409"/>
      <c r="J2" s="408"/>
      <c r="K2" s="408"/>
      <c r="L2" s="408"/>
      <c r="M2" s="408"/>
      <c r="N2" s="408"/>
      <c r="O2" s="408"/>
      <c r="P2" s="408"/>
      <c r="Q2" s="508"/>
      <c r="R2" s="408"/>
      <c r="S2" s="408"/>
      <c r="T2" s="408"/>
      <c r="U2" s="408"/>
      <c r="V2" s="408"/>
      <c r="W2" s="408"/>
      <c r="X2" s="408"/>
      <c r="Y2" s="408"/>
      <c r="Z2" s="408"/>
      <c r="AA2" s="408"/>
      <c r="AB2" s="407"/>
      <c r="AC2" s="407"/>
      <c r="AD2" s="407"/>
      <c r="AE2" s="407"/>
      <c r="AF2" s="407"/>
      <c r="AG2" s="407"/>
      <c r="AH2" s="407"/>
      <c r="AI2" s="407"/>
      <c r="AJ2" s="407"/>
      <c r="AK2" s="407"/>
      <c r="AL2" s="407"/>
      <c r="AM2" s="407"/>
      <c r="AN2" s="407"/>
      <c r="AO2" s="407"/>
      <c r="AP2" s="407"/>
    </row>
    <row r="3" spans="1:42" ht="18.75" x14ac:dyDescent="0.25">
      <c r="A3" s="406" t="s">
        <v>1497</v>
      </c>
      <c r="B3" s="407"/>
      <c r="C3" s="407"/>
      <c r="D3" s="407"/>
      <c r="E3" s="407"/>
      <c r="F3" s="407"/>
      <c r="G3" s="407"/>
      <c r="H3" s="408"/>
      <c r="I3" s="409"/>
      <c r="J3" s="408"/>
      <c r="K3" s="408"/>
      <c r="L3" s="408"/>
      <c r="M3" s="408"/>
      <c r="N3" s="408"/>
      <c r="O3" s="408"/>
      <c r="P3" s="408"/>
      <c r="Q3" s="508"/>
      <c r="R3" s="408"/>
      <c r="S3" s="408"/>
      <c r="T3" s="408"/>
      <c r="U3" s="408"/>
      <c r="V3" s="408"/>
      <c r="W3" s="408"/>
      <c r="X3" s="408"/>
      <c r="Y3" s="408"/>
      <c r="Z3" s="408"/>
      <c r="AA3" s="408"/>
      <c r="AB3" s="407"/>
      <c r="AC3" s="407"/>
      <c r="AD3" s="407"/>
      <c r="AE3" s="407"/>
      <c r="AF3" s="407"/>
      <c r="AG3" s="407"/>
      <c r="AH3" s="407"/>
      <c r="AI3" s="407"/>
      <c r="AJ3" s="407"/>
      <c r="AK3" s="407"/>
      <c r="AL3" s="407"/>
      <c r="AM3" s="407"/>
      <c r="AN3" s="407"/>
      <c r="AO3" s="407"/>
      <c r="AP3" s="407"/>
    </row>
    <row r="4" spans="1:42" s="407" customFormat="1" ht="18.75" x14ac:dyDescent="0.25">
      <c r="A4" s="406" t="s">
        <v>1498</v>
      </c>
      <c r="H4" s="408"/>
      <c r="I4" s="409"/>
      <c r="J4" s="408"/>
      <c r="K4" s="408"/>
      <c r="L4" s="408"/>
      <c r="M4" s="408"/>
      <c r="N4" s="408"/>
      <c r="O4" s="408"/>
      <c r="P4" s="408"/>
      <c r="Q4" s="508"/>
      <c r="R4" s="408"/>
      <c r="S4" s="408"/>
      <c r="T4" s="408"/>
      <c r="U4" s="408"/>
      <c r="V4" s="408"/>
      <c r="W4" s="408"/>
      <c r="X4" s="408"/>
      <c r="Y4" s="408"/>
      <c r="Z4" s="408"/>
      <c r="AA4" s="408"/>
    </row>
    <row r="5" spans="1:42" s="407" customFormat="1" ht="18.75" x14ac:dyDescent="0.25">
      <c r="A5" s="406" t="s">
        <v>1499</v>
      </c>
      <c r="H5" s="408"/>
      <c r="I5" s="409"/>
      <c r="J5" s="408"/>
      <c r="K5" s="408"/>
      <c r="L5" s="408"/>
      <c r="M5" s="408"/>
      <c r="N5" s="408"/>
      <c r="O5" s="408"/>
      <c r="P5" s="408"/>
      <c r="Q5" s="508"/>
      <c r="R5" s="408"/>
      <c r="S5" s="408"/>
      <c r="T5" s="408"/>
      <c r="U5" s="408"/>
      <c r="V5" s="408"/>
      <c r="W5" s="408"/>
      <c r="X5" s="408"/>
      <c r="Y5" s="408"/>
      <c r="Z5" s="408"/>
      <c r="AA5" s="408"/>
    </row>
    <row r="6" spans="1:42" s="407" customFormat="1" x14ac:dyDescent="0.25">
      <c r="A6" s="411" t="s">
        <v>1500</v>
      </c>
      <c r="B6" s="411"/>
      <c r="C6" s="411"/>
      <c r="D6" s="411"/>
      <c r="E6" s="411"/>
      <c r="F6" s="411"/>
      <c r="G6" s="411"/>
      <c r="H6" s="411"/>
      <c r="I6" s="411"/>
      <c r="J6" s="411"/>
      <c r="K6" s="411"/>
      <c r="L6" s="411"/>
      <c r="M6" s="411"/>
      <c r="N6" s="411"/>
      <c r="O6" s="411"/>
      <c r="P6" s="411"/>
      <c r="Q6" s="509"/>
      <c r="R6" s="411"/>
      <c r="S6" s="411"/>
      <c r="T6" s="411"/>
      <c r="U6" s="411"/>
    </row>
    <row r="7" spans="1:42" ht="15" customHeight="1" x14ac:dyDescent="0.25">
      <c r="A7" s="666" t="s">
        <v>96</v>
      </c>
      <c r="B7" s="665" t="s">
        <v>110</v>
      </c>
      <c r="C7" s="668" t="s">
        <v>1514</v>
      </c>
      <c r="D7" s="668" t="s">
        <v>1515</v>
      </c>
      <c r="E7" s="668" t="s">
        <v>86</v>
      </c>
      <c r="F7" s="668" t="s">
        <v>390</v>
      </c>
      <c r="G7" s="668" t="s">
        <v>87</v>
      </c>
      <c r="H7" s="671" t="s">
        <v>99</v>
      </c>
      <c r="I7" s="677"/>
      <c r="J7" s="677"/>
      <c r="K7" s="677"/>
      <c r="L7" s="677"/>
      <c r="M7" s="677"/>
      <c r="N7" s="677"/>
      <c r="O7" s="672"/>
      <c r="P7" s="673" t="s">
        <v>100</v>
      </c>
      <c r="Q7" s="674"/>
      <c r="R7" s="665" t="s">
        <v>102</v>
      </c>
      <c r="S7" s="665" t="s">
        <v>109</v>
      </c>
      <c r="T7" s="665" t="s">
        <v>108</v>
      </c>
      <c r="U7" s="662" t="s">
        <v>88</v>
      </c>
    </row>
    <row r="8" spans="1:42" ht="15" customHeight="1" x14ac:dyDescent="0.25">
      <c r="A8" s="666"/>
      <c r="B8" s="666"/>
      <c r="C8" s="669"/>
      <c r="D8" s="669"/>
      <c r="E8" s="669"/>
      <c r="F8" s="669"/>
      <c r="G8" s="669"/>
      <c r="H8" s="671" t="s">
        <v>103</v>
      </c>
      <c r="I8" s="672"/>
      <c r="J8" s="671" t="s">
        <v>104</v>
      </c>
      <c r="K8" s="672"/>
      <c r="L8" s="671" t="s">
        <v>105</v>
      </c>
      <c r="M8" s="672"/>
      <c r="N8" s="671" t="s">
        <v>106</v>
      </c>
      <c r="O8" s="672"/>
      <c r="P8" s="675"/>
      <c r="Q8" s="676"/>
      <c r="R8" s="666"/>
      <c r="S8" s="666"/>
      <c r="T8" s="666"/>
      <c r="U8" s="663"/>
    </row>
    <row r="9" spans="1:42" ht="25.5" x14ac:dyDescent="0.25">
      <c r="A9" s="667"/>
      <c r="B9" s="667"/>
      <c r="C9" s="670"/>
      <c r="D9" s="670"/>
      <c r="E9" s="670"/>
      <c r="F9" s="670"/>
      <c r="G9" s="670"/>
      <c r="H9" s="438" t="s">
        <v>107</v>
      </c>
      <c r="I9" s="438" t="s">
        <v>12</v>
      </c>
      <c r="J9" s="438" t="s">
        <v>107</v>
      </c>
      <c r="K9" s="438" t="s">
        <v>12</v>
      </c>
      <c r="L9" s="438" t="s">
        <v>107</v>
      </c>
      <c r="M9" s="438" t="s">
        <v>12</v>
      </c>
      <c r="N9" s="438" t="s">
        <v>107</v>
      </c>
      <c r="O9" s="438" t="s">
        <v>12</v>
      </c>
      <c r="P9" s="438" t="s">
        <v>107</v>
      </c>
      <c r="Q9" s="510" t="s">
        <v>12</v>
      </c>
      <c r="R9" s="667"/>
      <c r="S9" s="667"/>
      <c r="T9" s="667"/>
      <c r="U9" s="664"/>
    </row>
    <row r="10" spans="1:42" ht="15.75" x14ac:dyDescent="0.25">
      <c r="A10" s="492"/>
      <c r="B10" s="493"/>
      <c r="C10" s="441"/>
      <c r="D10" s="441"/>
      <c r="E10" s="441"/>
      <c r="F10" s="442"/>
      <c r="G10" s="441"/>
      <c r="H10" s="443"/>
      <c r="I10" s="443"/>
      <c r="J10" s="443"/>
      <c r="K10" s="443"/>
      <c r="L10" s="443"/>
      <c r="M10" s="443"/>
      <c r="N10" s="443"/>
      <c r="O10" s="443"/>
      <c r="P10" s="443"/>
      <c r="Q10" s="511"/>
      <c r="R10" s="444"/>
      <c r="S10" s="444"/>
      <c r="T10" s="444"/>
      <c r="U10" s="445"/>
    </row>
    <row r="11" spans="1:42" s="491" customFormat="1" ht="162.75" customHeight="1" x14ac:dyDescent="0.25">
      <c r="A11" s="741" t="s">
        <v>1497</v>
      </c>
      <c r="B11" s="743" t="s">
        <v>1512</v>
      </c>
      <c r="C11" s="745" t="s">
        <v>1652</v>
      </c>
      <c r="D11" s="739" t="s">
        <v>1679</v>
      </c>
      <c r="E11" s="515" t="s">
        <v>1677</v>
      </c>
      <c r="F11" s="516" t="s">
        <v>1678</v>
      </c>
      <c r="G11" s="515" t="s">
        <v>1680</v>
      </c>
      <c r="H11" s="517"/>
      <c r="I11" s="517"/>
      <c r="J11" s="517"/>
      <c r="K11" s="517"/>
      <c r="L11" s="517"/>
      <c r="M11" s="517"/>
      <c r="N11" s="518">
        <v>1</v>
      </c>
      <c r="O11" s="519">
        <f>Q11</f>
        <v>23750</v>
      </c>
      <c r="P11" s="518">
        <v>1</v>
      </c>
      <c r="Q11" s="519">
        <f>'5. ACTIVIDADES ESPECIALES'!D10</f>
        <v>23750</v>
      </c>
      <c r="R11" s="514" t="s">
        <v>1681</v>
      </c>
      <c r="S11" s="514" t="s">
        <v>1682</v>
      </c>
      <c r="T11" s="514" t="s">
        <v>1683</v>
      </c>
      <c r="U11" s="515" t="s">
        <v>1684</v>
      </c>
    </row>
    <row r="12" spans="1:42" ht="15.75" hidden="1" customHeight="1" x14ac:dyDescent="0.25">
      <c r="A12" s="742"/>
      <c r="B12" s="744"/>
      <c r="C12" s="746"/>
      <c r="D12" s="740"/>
      <c r="E12" s="520"/>
      <c r="F12" s="520"/>
      <c r="G12" s="521"/>
      <c r="H12" s="522"/>
      <c r="I12" s="523"/>
      <c r="J12" s="522"/>
      <c r="K12" s="523"/>
      <c r="L12" s="522"/>
      <c r="M12" s="523"/>
      <c r="N12" s="522"/>
      <c r="O12" s="523"/>
      <c r="P12" s="518">
        <v>1</v>
      </c>
      <c r="Q12" s="524">
        <f>I12+K12+M12+O12</f>
        <v>0</v>
      </c>
      <c r="R12" s="521"/>
      <c r="S12" s="521"/>
      <c r="T12" s="521"/>
      <c r="U12" s="521"/>
    </row>
    <row r="13" spans="1:42" ht="15.75" hidden="1" customHeight="1" x14ac:dyDescent="0.25">
      <c r="A13" s="742"/>
      <c r="B13" s="744"/>
      <c r="C13" s="746"/>
      <c r="D13" s="740"/>
      <c r="E13" s="520"/>
      <c r="F13" s="520"/>
      <c r="G13" s="521"/>
      <c r="H13" s="522"/>
      <c r="I13" s="523"/>
      <c r="J13" s="522"/>
      <c r="K13" s="523"/>
      <c r="L13" s="522"/>
      <c r="M13" s="523"/>
      <c r="N13" s="522"/>
      <c r="O13" s="523"/>
      <c r="P13" s="518">
        <v>1</v>
      </c>
      <c r="Q13" s="524">
        <f t="shared" ref="Q13:Q26" si="0">I13+K13+M13+O13</f>
        <v>0</v>
      </c>
      <c r="R13" s="521"/>
      <c r="S13" s="521"/>
      <c r="T13" s="521"/>
      <c r="U13" s="521"/>
    </row>
    <row r="14" spans="1:42" ht="15.75" hidden="1" customHeight="1" x14ac:dyDescent="0.25">
      <c r="A14" s="742"/>
      <c r="B14" s="744"/>
      <c r="C14" s="746"/>
      <c r="D14" s="740"/>
      <c r="E14" s="520"/>
      <c r="F14" s="520"/>
      <c r="G14" s="521"/>
      <c r="H14" s="522"/>
      <c r="I14" s="523"/>
      <c r="J14" s="522"/>
      <c r="K14" s="523"/>
      <c r="L14" s="522"/>
      <c r="M14" s="523"/>
      <c r="N14" s="522"/>
      <c r="O14" s="523"/>
      <c r="P14" s="518">
        <v>1</v>
      </c>
      <c r="Q14" s="524">
        <f t="shared" si="0"/>
        <v>0</v>
      </c>
      <c r="R14" s="521"/>
      <c r="S14" s="521"/>
      <c r="T14" s="521"/>
      <c r="U14" s="521"/>
    </row>
    <row r="15" spans="1:42" ht="15.75" hidden="1" customHeight="1" x14ac:dyDescent="0.25">
      <c r="A15" s="742"/>
      <c r="B15" s="744"/>
      <c r="C15" s="746"/>
      <c r="D15" s="740"/>
      <c r="E15" s="520"/>
      <c r="F15" s="520"/>
      <c r="G15" s="521"/>
      <c r="H15" s="522"/>
      <c r="I15" s="523"/>
      <c r="J15" s="522"/>
      <c r="K15" s="523"/>
      <c r="L15" s="522"/>
      <c r="M15" s="523"/>
      <c r="N15" s="522"/>
      <c r="O15" s="523"/>
      <c r="P15" s="518">
        <v>1</v>
      </c>
      <c r="Q15" s="524">
        <f t="shared" si="0"/>
        <v>0</v>
      </c>
      <c r="R15" s="521"/>
      <c r="S15" s="521"/>
      <c r="T15" s="521"/>
      <c r="U15" s="521"/>
    </row>
    <row r="16" spans="1:42" ht="15.75" hidden="1" customHeight="1" x14ac:dyDescent="0.25">
      <c r="A16" s="742"/>
      <c r="B16" s="744"/>
      <c r="C16" s="746"/>
      <c r="D16" s="740"/>
      <c r="E16" s="520"/>
      <c r="F16" s="520"/>
      <c r="G16" s="521"/>
      <c r="H16" s="522"/>
      <c r="I16" s="523"/>
      <c r="J16" s="522"/>
      <c r="K16" s="523"/>
      <c r="L16" s="522"/>
      <c r="M16" s="523"/>
      <c r="N16" s="522"/>
      <c r="O16" s="523"/>
      <c r="P16" s="518">
        <v>1</v>
      </c>
      <c r="Q16" s="524">
        <f t="shared" si="0"/>
        <v>0</v>
      </c>
      <c r="R16" s="521"/>
      <c r="S16" s="521"/>
      <c r="T16" s="521"/>
      <c r="U16" s="521"/>
    </row>
    <row r="17" spans="1:21" ht="4.5" hidden="1" customHeight="1" x14ac:dyDescent="0.25">
      <c r="A17" s="742"/>
      <c r="B17" s="744"/>
      <c r="C17" s="746"/>
      <c r="D17" s="740"/>
      <c r="E17" s="520"/>
      <c r="F17" s="520"/>
      <c r="G17" s="521"/>
      <c r="H17" s="522"/>
      <c r="I17" s="523"/>
      <c r="J17" s="522"/>
      <c r="K17" s="523"/>
      <c r="L17" s="522"/>
      <c r="M17" s="523"/>
      <c r="N17" s="522"/>
      <c r="O17" s="523"/>
      <c r="P17" s="518">
        <v>1</v>
      </c>
      <c r="Q17" s="524">
        <f t="shared" si="0"/>
        <v>0</v>
      </c>
      <c r="R17" s="521"/>
      <c r="S17" s="521"/>
      <c r="T17" s="521"/>
      <c r="U17" s="521"/>
    </row>
    <row r="18" spans="1:21" ht="15.75" hidden="1" customHeight="1" x14ac:dyDescent="0.25">
      <c r="A18" s="742"/>
      <c r="B18" s="744"/>
      <c r="C18" s="746"/>
      <c r="D18" s="740"/>
      <c r="E18" s="520"/>
      <c r="F18" s="520"/>
      <c r="G18" s="521"/>
      <c r="H18" s="522"/>
      <c r="I18" s="523"/>
      <c r="J18" s="522"/>
      <c r="K18" s="523"/>
      <c r="L18" s="522"/>
      <c r="M18" s="523"/>
      <c r="N18" s="522"/>
      <c r="O18" s="523"/>
      <c r="P18" s="518">
        <v>1</v>
      </c>
      <c r="Q18" s="524">
        <f t="shared" si="0"/>
        <v>0</v>
      </c>
      <c r="R18" s="521"/>
      <c r="S18" s="521"/>
      <c r="T18" s="521"/>
      <c r="U18" s="521"/>
    </row>
    <row r="19" spans="1:21" ht="15.75" hidden="1" customHeight="1" x14ac:dyDescent="0.25">
      <c r="A19" s="742"/>
      <c r="B19" s="744"/>
      <c r="C19" s="746"/>
      <c r="D19" s="740"/>
      <c r="E19" s="520"/>
      <c r="F19" s="520"/>
      <c r="G19" s="521"/>
      <c r="H19" s="522"/>
      <c r="I19" s="523"/>
      <c r="J19" s="522"/>
      <c r="K19" s="523"/>
      <c r="L19" s="522"/>
      <c r="M19" s="523"/>
      <c r="N19" s="522"/>
      <c r="O19" s="523"/>
      <c r="P19" s="518">
        <v>1</v>
      </c>
      <c r="Q19" s="524">
        <f t="shared" si="0"/>
        <v>0</v>
      </c>
      <c r="R19" s="521"/>
      <c r="S19" s="521"/>
      <c r="T19" s="521"/>
      <c r="U19" s="521"/>
    </row>
    <row r="20" spans="1:21" ht="15.75" hidden="1" customHeight="1" x14ac:dyDescent="0.25">
      <c r="A20" s="742"/>
      <c r="B20" s="744"/>
      <c r="C20" s="746"/>
      <c r="D20" s="740"/>
      <c r="E20" s="520"/>
      <c r="F20" s="520"/>
      <c r="G20" s="521"/>
      <c r="H20" s="522"/>
      <c r="I20" s="523"/>
      <c r="J20" s="522"/>
      <c r="K20" s="523"/>
      <c r="L20" s="522"/>
      <c r="M20" s="523"/>
      <c r="N20" s="522"/>
      <c r="O20" s="523"/>
      <c r="P20" s="518">
        <v>1</v>
      </c>
      <c r="Q20" s="524">
        <f t="shared" si="0"/>
        <v>0</v>
      </c>
      <c r="R20" s="521"/>
      <c r="S20" s="521"/>
      <c r="T20" s="521"/>
      <c r="U20" s="521"/>
    </row>
    <row r="21" spans="1:21" ht="15.75" hidden="1" customHeight="1" x14ac:dyDescent="0.25">
      <c r="A21" s="742"/>
      <c r="B21" s="744"/>
      <c r="C21" s="746"/>
      <c r="D21" s="740"/>
      <c r="E21" s="520"/>
      <c r="F21" s="520"/>
      <c r="G21" s="521"/>
      <c r="H21" s="522"/>
      <c r="I21" s="523"/>
      <c r="J21" s="522"/>
      <c r="K21" s="523"/>
      <c r="L21" s="522"/>
      <c r="M21" s="523"/>
      <c r="N21" s="522"/>
      <c r="O21" s="523"/>
      <c r="P21" s="518">
        <v>1</v>
      </c>
      <c r="Q21" s="524">
        <f t="shared" si="0"/>
        <v>0</v>
      </c>
      <c r="R21" s="521"/>
      <c r="S21" s="521"/>
      <c r="T21" s="521"/>
      <c r="U21" s="521"/>
    </row>
    <row r="22" spans="1:21" ht="15.75" hidden="1" customHeight="1" x14ac:dyDescent="0.25">
      <c r="A22" s="742"/>
      <c r="B22" s="744"/>
      <c r="C22" s="746"/>
      <c r="D22" s="740"/>
      <c r="E22" s="520"/>
      <c r="F22" s="520"/>
      <c r="G22" s="521"/>
      <c r="H22" s="522"/>
      <c r="I22" s="523"/>
      <c r="J22" s="522"/>
      <c r="K22" s="523"/>
      <c r="L22" s="522"/>
      <c r="M22" s="523"/>
      <c r="N22" s="522"/>
      <c r="O22" s="523"/>
      <c r="P22" s="518">
        <v>1</v>
      </c>
      <c r="Q22" s="524">
        <f t="shared" si="0"/>
        <v>0</v>
      </c>
      <c r="R22" s="521"/>
      <c r="S22" s="521"/>
      <c r="T22" s="521"/>
      <c r="U22" s="521"/>
    </row>
    <row r="23" spans="1:21" ht="15.75" hidden="1" customHeight="1" x14ac:dyDescent="0.25">
      <c r="A23" s="742"/>
      <c r="B23" s="744"/>
      <c r="C23" s="746"/>
      <c r="D23" s="740"/>
      <c r="E23" s="520"/>
      <c r="F23" s="520"/>
      <c r="G23" s="521"/>
      <c r="H23" s="522"/>
      <c r="I23" s="523"/>
      <c r="J23" s="522"/>
      <c r="K23" s="523"/>
      <c r="L23" s="522"/>
      <c r="M23" s="523"/>
      <c r="N23" s="522"/>
      <c r="O23" s="523"/>
      <c r="P23" s="518">
        <v>1</v>
      </c>
      <c r="Q23" s="524">
        <f t="shared" si="0"/>
        <v>0</v>
      </c>
      <c r="R23" s="521"/>
      <c r="S23" s="521"/>
      <c r="T23" s="521"/>
      <c r="U23" s="521"/>
    </row>
    <row r="24" spans="1:21" ht="15.75" hidden="1" customHeight="1" x14ac:dyDescent="0.25">
      <c r="A24" s="742"/>
      <c r="B24" s="744"/>
      <c r="C24" s="746"/>
      <c r="D24" s="740"/>
      <c r="E24" s="520"/>
      <c r="F24" s="520"/>
      <c r="G24" s="521"/>
      <c r="H24" s="522"/>
      <c r="I24" s="523"/>
      <c r="J24" s="522"/>
      <c r="K24" s="523"/>
      <c r="L24" s="522"/>
      <c r="M24" s="523"/>
      <c r="N24" s="522"/>
      <c r="O24" s="523"/>
      <c r="P24" s="518">
        <v>1</v>
      </c>
      <c r="Q24" s="524">
        <f t="shared" si="0"/>
        <v>0</v>
      </c>
      <c r="R24" s="521"/>
      <c r="S24" s="521"/>
      <c r="T24" s="521"/>
      <c r="U24" s="521"/>
    </row>
    <row r="25" spans="1:21" ht="15.75" hidden="1" customHeight="1" x14ac:dyDescent="0.25">
      <c r="A25" s="742"/>
      <c r="B25" s="744"/>
      <c r="C25" s="746"/>
      <c r="D25" s="740"/>
      <c r="E25" s="520"/>
      <c r="F25" s="520"/>
      <c r="G25" s="521"/>
      <c r="H25" s="522"/>
      <c r="I25" s="523"/>
      <c r="J25" s="522"/>
      <c r="K25" s="523"/>
      <c r="L25" s="522"/>
      <c r="M25" s="523"/>
      <c r="N25" s="522"/>
      <c r="O25" s="523"/>
      <c r="P25" s="518">
        <v>1</v>
      </c>
      <c r="Q25" s="524">
        <f t="shared" si="0"/>
        <v>0</v>
      </c>
      <c r="R25" s="521"/>
      <c r="S25" s="521"/>
      <c r="T25" s="521"/>
      <c r="U25" s="521"/>
    </row>
    <row r="26" spans="1:21" ht="15.75" hidden="1" customHeight="1" x14ac:dyDescent="0.25">
      <c r="A26" s="742"/>
      <c r="B26" s="744"/>
      <c r="C26" s="746"/>
      <c r="D26" s="740"/>
      <c r="E26" s="520"/>
      <c r="F26" s="520"/>
      <c r="G26" s="521"/>
      <c r="H26" s="522"/>
      <c r="I26" s="523"/>
      <c r="J26" s="522"/>
      <c r="K26" s="523"/>
      <c r="L26" s="522"/>
      <c r="M26" s="523"/>
      <c r="N26" s="522"/>
      <c r="O26" s="523"/>
      <c r="P26" s="518">
        <v>1</v>
      </c>
      <c r="Q26" s="524">
        <f t="shared" si="0"/>
        <v>0</v>
      </c>
      <c r="R26" s="521"/>
      <c r="S26" s="521"/>
      <c r="T26" s="521"/>
      <c r="U26" s="521"/>
    </row>
    <row r="27" spans="1:21" ht="401.25" customHeight="1" x14ac:dyDescent="0.25">
      <c r="A27" s="529" t="s">
        <v>1499</v>
      </c>
      <c r="B27" s="529" t="s">
        <v>1511</v>
      </c>
      <c r="C27" s="530" t="s">
        <v>1652</v>
      </c>
      <c r="D27" s="531" t="s">
        <v>1693</v>
      </c>
      <c r="E27" s="531" t="s">
        <v>1688</v>
      </c>
      <c r="F27" s="532" t="s">
        <v>1689</v>
      </c>
      <c r="G27" s="533" t="s">
        <v>1896</v>
      </c>
      <c r="H27" s="525">
        <v>0.53</v>
      </c>
      <c r="I27" s="526">
        <f>Q27*0.53</f>
        <v>456860</v>
      </c>
      <c r="J27" s="525">
        <v>0.35</v>
      </c>
      <c r="K27" s="526">
        <f>Q27*0.35</f>
        <v>301700</v>
      </c>
      <c r="L27" s="525">
        <v>0.12</v>
      </c>
      <c r="M27" s="526">
        <f>Q27*0.12</f>
        <v>103440</v>
      </c>
      <c r="N27" s="525"/>
      <c r="O27" s="526"/>
      <c r="P27" s="527">
        <v>1</v>
      </c>
      <c r="Q27" s="528">
        <f>'4. EQUIPO TECNOLÓGICOS'!D10</f>
        <v>862000</v>
      </c>
      <c r="R27" s="533" t="s">
        <v>1694</v>
      </c>
      <c r="S27" s="533" t="s">
        <v>1690</v>
      </c>
      <c r="T27" s="533" t="s">
        <v>1691</v>
      </c>
      <c r="U27" s="533" t="s">
        <v>1692</v>
      </c>
    </row>
    <row r="28" spans="1:21" ht="18.75" x14ac:dyDescent="0.3">
      <c r="A28" s="294"/>
      <c r="B28" s="295"/>
      <c r="C28" s="295"/>
      <c r="D28" s="295"/>
      <c r="E28" s="294" t="s">
        <v>1502</v>
      </c>
      <c r="F28" s="295"/>
      <c r="G28" s="296"/>
      <c r="H28" s="75"/>
      <c r="I28" s="235">
        <f>SUM(I12:I27)</f>
        <v>456860</v>
      </c>
      <c r="J28" s="75"/>
      <c r="K28" s="235">
        <f>SUM(K12:K27)</f>
        <v>301700</v>
      </c>
      <c r="L28" s="75"/>
      <c r="M28" s="235">
        <f>SUM(M12:M27)</f>
        <v>103440</v>
      </c>
      <c r="N28" s="75"/>
      <c r="O28" s="235">
        <f>SUM(O11:O27)</f>
        <v>23750</v>
      </c>
      <c r="P28" s="513"/>
      <c r="Q28" s="578">
        <f>SUM(Q11:Q27)</f>
        <v>885750</v>
      </c>
      <c r="R28" s="68"/>
      <c r="S28" s="68"/>
      <c r="T28" s="68"/>
      <c r="U28" s="68"/>
    </row>
    <row r="29" spans="1:21" ht="18.75" x14ac:dyDescent="0.3">
      <c r="Q29" s="580"/>
    </row>
    <row r="31" spans="1:21" x14ac:dyDescent="0.25">
      <c r="Q31" s="579">
        <f>SUM(O28+M28+K28+I28)</f>
        <v>885750</v>
      </c>
    </row>
  </sheetData>
  <mergeCells count="22">
    <mergeCell ref="D11:D26"/>
    <mergeCell ref="A11:A26"/>
    <mergeCell ref="B11:B26"/>
    <mergeCell ref="C11:C26"/>
    <mergeCell ref="A7:A9"/>
    <mergeCell ref="B7:B9"/>
    <mergeCell ref="C7:C9"/>
    <mergeCell ref="D7:D9"/>
    <mergeCell ref="E7:E9"/>
    <mergeCell ref="F7:F9"/>
    <mergeCell ref="F1:M1"/>
    <mergeCell ref="G7:G9"/>
    <mergeCell ref="H7:O7"/>
    <mergeCell ref="H8:I8"/>
    <mergeCell ref="J8:K8"/>
    <mergeCell ref="L8:M8"/>
    <mergeCell ref="N8:O8"/>
    <mergeCell ref="R7:R9"/>
    <mergeCell ref="S7:S9"/>
    <mergeCell ref="T7:T9"/>
    <mergeCell ref="U7:U9"/>
    <mergeCell ref="P7:Q8"/>
  </mergeCells>
  <dataValidations xWindow="406" yWindow="483" count="9">
    <dataValidation allowBlank="1" showInputMessage="1" showErrorMessage="1" promptTitle="CORRELATIVO DE LA ACTIVIDAD" prompt="Estos son los mismos utilizados en los cuadros de costos, los cuales sirven para poder reflejar la Actividad a realizar en cada uno de los cuadros de costos." sqref="F7:F11"/>
    <dataValidation allowBlank="1" showInputMessage="1" showErrorMessage="1" promptTitle="INDICADORES DE RESULTADOS" prompt="Medidas o variables para verificar el cumplimiento de cada paso._x000a_" sqref="E7:E11"/>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D10:D11 C7: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7:G11"/>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1"/>
    <dataValidation allowBlank="1" showInputMessage="1" showErrorMessage="1" promptTitle="POBLACIÓN OBJETIVO" prompt="Grupo  de personas al cual se pretende beneficiar con dicho actividad." sqref="T7:T11"/>
    <dataValidation allowBlank="1" showInputMessage="1" showErrorMessage="1" promptTitle="MEDIO DE VERIFICACIÓN" prompt="Corresponde a los elementos a través del cual se acredita y se verifican  las actividades." sqref="S7:S11"/>
    <dataValidation allowBlank="1" showInputMessage="1" showErrorMessage="1" promptTitle="JUSTIFICACIÓN" prompt="Es aquella en que se explica de forma convincente el motivo por el que y para que se va realizar dicha actividad, que beneficio va traer a la institución." sqref="R7:R11"/>
    <dataValidation type="list" allowBlank="1" showInputMessage="1" showErrorMessage="1" sqref="C11 C27">
      <formula1>$P$1:$AD$1</formula1>
    </dataValidation>
  </dataValidations>
  <pageMargins left="0.7" right="0.7" top="0.75" bottom="0.75" header="0.3" footer="0.3"/>
  <pageSetup paperSize="9" orientation="portrait" r:id="rId1"/>
  <ignoredErrors>
    <ignoredError sqref="Q11 O11"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topLeftCell="U1" zoomScale="80" zoomScaleNormal="80" workbookViewId="0">
      <pane ySplit="11" topLeftCell="A334" activePane="bottomLeft" state="frozen"/>
      <selection activeCell="A11" sqref="A11"/>
      <selection pane="bottomLeft" activeCell="U348" sqref="U348"/>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x14ac:dyDescent="0.25">
      <c r="A1" s="187"/>
      <c r="B1" s="190"/>
      <c r="C1" s="187" t="s">
        <v>249</v>
      </c>
      <c r="D1" s="190" t="s">
        <v>250</v>
      </c>
      <c r="E1" s="181" t="s">
        <v>251</v>
      </c>
      <c r="F1" s="181" t="s">
        <v>494</v>
      </c>
      <c r="G1" s="181" t="s">
        <v>496</v>
      </c>
      <c r="H1" s="181" t="s">
        <v>498</v>
      </c>
      <c r="I1" s="181" t="s">
        <v>500</v>
      </c>
      <c r="J1" s="181" t="s">
        <v>502</v>
      </c>
      <c r="K1" s="181" t="s">
        <v>504</v>
      </c>
      <c r="L1" s="181" t="s">
        <v>252</v>
      </c>
      <c r="M1" s="181" t="s">
        <v>507</v>
      </c>
      <c r="N1" s="181" t="s">
        <v>253</v>
      </c>
      <c r="O1" s="181" t="s">
        <v>509</v>
      </c>
      <c r="P1" s="181" t="s">
        <v>511</v>
      </c>
      <c r="Q1" s="181" t="s">
        <v>513</v>
      </c>
      <c r="R1" s="181" t="s">
        <v>511</v>
      </c>
      <c r="S1" s="181" t="s">
        <v>513</v>
      </c>
      <c r="T1" s="181" t="s">
        <v>513</v>
      </c>
      <c r="U1" s="181" t="s">
        <v>254</v>
      </c>
      <c r="V1" s="181" t="s">
        <v>514</v>
      </c>
      <c r="W1" s="181" t="s">
        <v>517</v>
      </c>
      <c r="X1" s="181" t="s">
        <v>517</v>
      </c>
      <c r="Y1" s="181" t="s">
        <v>255</v>
      </c>
      <c r="Z1" s="467"/>
      <c r="AA1" s="181" t="s">
        <v>255</v>
      </c>
      <c r="AB1" s="181" t="s">
        <v>519</v>
      </c>
      <c r="AC1" s="181" t="s">
        <v>256</v>
      </c>
      <c r="AD1" s="181" t="s">
        <v>520</v>
      </c>
      <c r="AE1" s="181" t="s">
        <v>521</v>
      </c>
      <c r="AF1" s="181" t="s">
        <v>525</v>
      </c>
      <c r="AG1" s="181" t="s">
        <v>272</v>
      </c>
      <c r="AH1" s="181" t="s">
        <v>526</v>
      </c>
      <c r="AI1" s="181" t="s">
        <v>528</v>
      </c>
      <c r="AJ1" s="181" t="s">
        <v>530</v>
      </c>
      <c r="AK1" s="181" t="s">
        <v>273</v>
      </c>
      <c r="AL1" s="181" t="s">
        <v>532</v>
      </c>
      <c r="AM1" s="181" t="s">
        <v>534</v>
      </c>
      <c r="AN1" s="181" t="s">
        <v>536</v>
      </c>
      <c r="AO1" s="181" t="s">
        <v>538</v>
      </c>
      <c r="AP1" s="181" t="s">
        <v>248</v>
      </c>
      <c r="AQ1" s="181" t="s">
        <v>540</v>
      </c>
      <c r="AR1" s="190" t="s">
        <v>257</v>
      </c>
      <c r="AS1" s="181" t="s">
        <v>542</v>
      </c>
      <c r="AT1" s="181" t="s">
        <v>258</v>
      </c>
      <c r="AU1" s="181" t="s">
        <v>544</v>
      </c>
      <c r="AV1" s="181" t="s">
        <v>546</v>
      </c>
      <c r="AW1" s="181" t="s">
        <v>259</v>
      </c>
      <c r="AX1" s="181" t="s">
        <v>548</v>
      </c>
      <c r="AY1" s="181" t="s">
        <v>550</v>
      </c>
      <c r="AZ1" s="181" t="s">
        <v>260</v>
      </c>
      <c r="BA1" s="181" t="s">
        <v>551</v>
      </c>
      <c r="BB1" s="181" t="s">
        <v>553</v>
      </c>
      <c r="BC1" s="181" t="s">
        <v>554</v>
      </c>
      <c r="BD1" s="181" t="s">
        <v>555</v>
      </c>
      <c r="BE1" s="181" t="s">
        <v>557</v>
      </c>
      <c r="BF1" s="181" t="s">
        <v>559</v>
      </c>
      <c r="BG1" s="181" t="s">
        <v>560</v>
      </c>
      <c r="BH1" s="181" t="s">
        <v>261</v>
      </c>
      <c r="BI1" s="181" t="s">
        <v>562</v>
      </c>
      <c r="BJ1" s="181" t="s">
        <v>564</v>
      </c>
      <c r="BK1" s="181" t="s">
        <v>566</v>
      </c>
      <c r="BL1" s="181" t="s">
        <v>568</v>
      </c>
      <c r="BM1" s="181" t="s">
        <v>570</v>
      </c>
      <c r="BN1" s="181" t="s">
        <v>572</v>
      </c>
      <c r="BO1" s="181" t="s">
        <v>574</v>
      </c>
      <c r="BP1" s="181" t="s">
        <v>576</v>
      </c>
      <c r="BQ1" s="181" t="s">
        <v>274</v>
      </c>
      <c r="BR1" s="181" t="s">
        <v>578</v>
      </c>
      <c r="BS1" s="181" t="s">
        <v>580</v>
      </c>
      <c r="BT1" s="181" t="s">
        <v>582</v>
      </c>
      <c r="BU1" s="181" t="s">
        <v>584</v>
      </c>
      <c r="BV1" s="181" t="s">
        <v>586</v>
      </c>
      <c r="BW1" s="181" t="s">
        <v>588</v>
      </c>
      <c r="BX1" s="181" t="s">
        <v>590</v>
      </c>
      <c r="BY1" s="181" t="s">
        <v>592</v>
      </c>
      <c r="BZ1" s="181" t="s">
        <v>594</v>
      </c>
      <c r="CA1" s="181" t="s">
        <v>596</v>
      </c>
      <c r="CB1" s="190" t="s">
        <v>262</v>
      </c>
      <c r="CC1" s="181" t="s">
        <v>263</v>
      </c>
      <c r="CD1" s="181" t="s">
        <v>598</v>
      </c>
      <c r="CE1" s="181" t="s">
        <v>264</v>
      </c>
      <c r="CF1" s="181" t="s">
        <v>600</v>
      </c>
      <c r="CG1" s="181" t="s">
        <v>602</v>
      </c>
      <c r="CH1" s="190" t="s">
        <v>265</v>
      </c>
      <c r="CI1" s="181" t="s">
        <v>266</v>
      </c>
      <c r="CJ1" s="181" t="s">
        <v>604</v>
      </c>
      <c r="CK1" s="181" t="s">
        <v>267</v>
      </c>
      <c r="CL1" s="181" t="s">
        <v>606</v>
      </c>
      <c r="CM1" s="181" t="s">
        <v>608</v>
      </c>
      <c r="CN1" s="181" t="s">
        <v>610</v>
      </c>
      <c r="CO1" s="190" t="s">
        <v>268</v>
      </c>
      <c r="CP1" s="181" t="s">
        <v>616</v>
      </c>
      <c r="CQ1" s="181" t="s">
        <v>618</v>
      </c>
      <c r="CR1" s="181" t="s">
        <v>269</v>
      </c>
      <c r="CS1" s="181" t="s">
        <v>612</v>
      </c>
      <c r="CT1" s="181" t="s">
        <v>614</v>
      </c>
      <c r="CU1" s="181" t="s">
        <v>270</v>
      </c>
      <c r="CV1" s="181" t="s">
        <v>620</v>
      </c>
      <c r="CW1" s="181" t="s">
        <v>271</v>
      </c>
      <c r="CX1" s="181" t="s">
        <v>621</v>
      </c>
      <c r="CY1" s="178" t="s">
        <v>275</v>
      </c>
      <c r="CZ1" s="190" t="s">
        <v>276</v>
      </c>
      <c r="DA1" s="181" t="s">
        <v>622</v>
      </c>
      <c r="DB1" s="181" t="s">
        <v>623</v>
      </c>
      <c r="DC1" s="181" t="s">
        <v>625</v>
      </c>
      <c r="DD1" s="181" t="s">
        <v>277</v>
      </c>
      <c r="DE1" s="181" t="s">
        <v>627</v>
      </c>
      <c r="DF1" s="181" t="s">
        <v>629</v>
      </c>
      <c r="DG1" s="181" t="s">
        <v>631</v>
      </c>
      <c r="DH1" s="181" t="s">
        <v>633</v>
      </c>
      <c r="DI1" s="181" t="s">
        <v>635</v>
      </c>
      <c r="DJ1" s="181" t="s">
        <v>637</v>
      </c>
      <c r="DK1" s="190" t="s">
        <v>278</v>
      </c>
      <c r="DL1" s="181" t="s">
        <v>279</v>
      </c>
      <c r="DM1" s="181" t="s">
        <v>639</v>
      </c>
      <c r="DN1" s="181" t="s">
        <v>280</v>
      </c>
      <c r="DO1" s="181" t="s">
        <v>641</v>
      </c>
      <c r="DP1" s="181" t="s">
        <v>643</v>
      </c>
      <c r="DQ1" s="181" t="s">
        <v>645</v>
      </c>
      <c r="DR1" s="181" t="s">
        <v>647</v>
      </c>
      <c r="DS1" s="181" t="s">
        <v>649</v>
      </c>
      <c r="DT1" s="181" t="s">
        <v>651</v>
      </c>
      <c r="DU1" s="181" t="s">
        <v>653</v>
      </c>
      <c r="DV1" s="181" t="s">
        <v>281</v>
      </c>
      <c r="DW1" s="181" t="s">
        <v>655</v>
      </c>
      <c r="DX1" s="181" t="s">
        <v>657</v>
      </c>
      <c r="DY1" s="181" t="s">
        <v>659</v>
      </c>
      <c r="DZ1" s="190" t="s">
        <v>282</v>
      </c>
      <c r="EA1" s="181" t="s">
        <v>661</v>
      </c>
      <c r="EB1" s="181" t="s">
        <v>283</v>
      </c>
      <c r="EC1" s="181" t="s">
        <v>663</v>
      </c>
      <c r="ED1" s="181" t="s">
        <v>284</v>
      </c>
      <c r="EE1" s="181" t="s">
        <v>665</v>
      </c>
      <c r="EF1" s="181" t="s">
        <v>667</v>
      </c>
      <c r="EG1" s="181" t="s">
        <v>669</v>
      </c>
      <c r="EH1" s="181" t="s">
        <v>671</v>
      </c>
      <c r="EI1" s="181" t="s">
        <v>673</v>
      </c>
      <c r="EJ1" s="181" t="s">
        <v>675</v>
      </c>
      <c r="EK1" s="181" t="s">
        <v>677</v>
      </c>
      <c r="EL1" s="181" t="s">
        <v>679</v>
      </c>
      <c r="EM1" s="181" t="s">
        <v>681</v>
      </c>
      <c r="EN1" s="181" t="s">
        <v>683</v>
      </c>
      <c r="EO1" s="181" t="s">
        <v>685</v>
      </c>
      <c r="EP1" s="190" t="s">
        <v>285</v>
      </c>
      <c r="EQ1" s="181" t="s">
        <v>687</v>
      </c>
      <c r="ER1" s="181" t="s">
        <v>286</v>
      </c>
      <c r="ES1" s="181" t="s">
        <v>689</v>
      </c>
      <c r="ET1" s="181" t="s">
        <v>691</v>
      </c>
      <c r="EU1" s="181" t="s">
        <v>287</v>
      </c>
      <c r="EV1" s="181" t="s">
        <v>693</v>
      </c>
      <c r="EW1" s="181" t="s">
        <v>695</v>
      </c>
      <c r="EX1" s="181" t="s">
        <v>288</v>
      </c>
      <c r="EY1" s="181" t="s">
        <v>697</v>
      </c>
      <c r="EZ1" s="181" t="s">
        <v>699</v>
      </c>
      <c r="FA1" s="181" t="s">
        <v>701</v>
      </c>
      <c r="FB1" s="181" t="s">
        <v>289</v>
      </c>
      <c r="FC1" s="181" t="s">
        <v>703</v>
      </c>
      <c r="FD1" s="181" t="s">
        <v>705</v>
      </c>
      <c r="FE1" s="190" t="s">
        <v>290</v>
      </c>
      <c r="FF1" s="181" t="s">
        <v>291</v>
      </c>
      <c r="FG1" s="181" t="s">
        <v>707</v>
      </c>
      <c r="FH1" s="181" t="s">
        <v>709</v>
      </c>
      <c r="FI1" s="181" t="s">
        <v>711</v>
      </c>
      <c r="FJ1" s="181" t="s">
        <v>713</v>
      </c>
      <c r="FK1" s="181" t="s">
        <v>292</v>
      </c>
      <c r="FL1" s="181" t="s">
        <v>715</v>
      </c>
      <c r="FM1" s="181" t="s">
        <v>717</v>
      </c>
      <c r="FN1" s="181" t="s">
        <v>719</v>
      </c>
      <c r="FO1" s="181" t="s">
        <v>721</v>
      </c>
      <c r="FP1" s="181" t="s">
        <v>723</v>
      </c>
      <c r="FQ1" s="181" t="s">
        <v>293</v>
      </c>
      <c r="FR1" s="181" t="s">
        <v>726</v>
      </c>
      <c r="FS1" s="181" t="s">
        <v>294</v>
      </c>
      <c r="FT1" s="181" t="s">
        <v>729</v>
      </c>
      <c r="FU1" s="181" t="s">
        <v>730</v>
      </c>
      <c r="FV1" s="181" t="s">
        <v>732</v>
      </c>
      <c r="FW1" s="181" t="s">
        <v>295</v>
      </c>
      <c r="FX1" s="181" t="s">
        <v>735</v>
      </c>
      <c r="FY1" s="181" t="s">
        <v>736</v>
      </c>
      <c r="FZ1" s="181" t="s">
        <v>738</v>
      </c>
      <c r="GA1" s="181" t="s">
        <v>296</v>
      </c>
      <c r="GB1" s="181" t="s">
        <v>741</v>
      </c>
      <c r="GC1" s="181" t="s">
        <v>743</v>
      </c>
      <c r="GD1" s="181" t="s">
        <v>745</v>
      </c>
      <c r="GE1" s="190" t="s">
        <v>297</v>
      </c>
      <c r="GF1" s="190" t="s">
        <v>298</v>
      </c>
      <c r="GG1" s="181" t="s">
        <v>304</v>
      </c>
      <c r="GH1" s="181" t="s">
        <v>747</v>
      </c>
      <c r="GI1" s="181" t="s">
        <v>749</v>
      </c>
      <c r="GJ1" s="181" t="s">
        <v>751</v>
      </c>
      <c r="GK1" s="181" t="s">
        <v>753</v>
      </c>
      <c r="GL1" s="181" t="s">
        <v>755</v>
      </c>
      <c r="GM1" s="181" t="s">
        <v>757</v>
      </c>
      <c r="GN1" s="190" t="s">
        <v>299</v>
      </c>
      <c r="GO1" s="181" t="s">
        <v>305</v>
      </c>
      <c r="GP1" s="181" t="s">
        <v>759</v>
      </c>
      <c r="GQ1" s="181" t="s">
        <v>761</v>
      </c>
      <c r="GR1" s="181" t="s">
        <v>762</v>
      </c>
      <c r="GS1" s="181" t="s">
        <v>306</v>
      </c>
      <c r="GT1" s="181" t="s">
        <v>765</v>
      </c>
      <c r="GU1" s="181" t="s">
        <v>766</v>
      </c>
      <c r="GV1" s="190" t="s">
        <v>300</v>
      </c>
      <c r="GW1" s="181" t="s">
        <v>301</v>
      </c>
      <c r="GX1" s="181" t="s">
        <v>768</v>
      </c>
      <c r="GY1" s="181" t="s">
        <v>770</v>
      </c>
      <c r="GZ1" s="181" t="s">
        <v>772</v>
      </c>
      <c r="HA1" s="181" t="s">
        <v>774</v>
      </c>
      <c r="HB1" s="181" t="s">
        <v>776</v>
      </c>
      <c r="HC1" s="190" t="s">
        <v>302</v>
      </c>
      <c r="HD1" s="181" t="s">
        <v>303</v>
      </c>
      <c r="HE1" s="181" t="s">
        <v>778</v>
      </c>
      <c r="HF1" s="181" t="s">
        <v>780</v>
      </c>
      <c r="HG1" s="181" t="s">
        <v>782</v>
      </c>
      <c r="HH1" s="181" t="s">
        <v>784</v>
      </c>
      <c r="HI1" s="181" t="s">
        <v>786</v>
      </c>
      <c r="HJ1" s="181" t="s">
        <v>788</v>
      </c>
      <c r="HK1" s="178" t="s">
        <v>307</v>
      </c>
      <c r="HL1" s="190" t="s">
        <v>308</v>
      </c>
      <c r="HM1" s="181" t="s">
        <v>309</v>
      </c>
      <c r="HN1" s="181" t="s">
        <v>790</v>
      </c>
      <c r="HO1" s="181" t="s">
        <v>792</v>
      </c>
      <c r="HP1" s="181" t="s">
        <v>794</v>
      </c>
      <c r="HQ1" s="181" t="s">
        <v>796</v>
      </c>
      <c r="HR1" s="181" t="s">
        <v>310</v>
      </c>
      <c r="HS1" s="181" t="s">
        <v>799</v>
      </c>
      <c r="HT1" s="181" t="s">
        <v>327</v>
      </c>
      <c r="HU1" s="181" t="s">
        <v>837</v>
      </c>
      <c r="HV1" s="181" t="s">
        <v>839</v>
      </c>
      <c r="HW1" s="181" t="s">
        <v>841</v>
      </c>
      <c r="HX1" s="190" t="s">
        <v>311</v>
      </c>
      <c r="HY1" s="181" t="s">
        <v>801</v>
      </c>
      <c r="HZ1" s="181" t="s">
        <v>803</v>
      </c>
      <c r="IA1" s="181" t="s">
        <v>312</v>
      </c>
      <c r="IB1" s="181" t="s">
        <v>806</v>
      </c>
      <c r="IC1" s="181" t="s">
        <v>808</v>
      </c>
      <c r="ID1" s="181" t="s">
        <v>809</v>
      </c>
      <c r="IE1" s="181" t="s">
        <v>811</v>
      </c>
      <c r="IF1" s="190" t="s">
        <v>313</v>
      </c>
      <c r="IG1" s="181" t="s">
        <v>813</v>
      </c>
      <c r="IH1" s="181" t="s">
        <v>815</v>
      </c>
      <c r="II1" s="181" t="s">
        <v>817</v>
      </c>
      <c r="IJ1" s="181" t="s">
        <v>314</v>
      </c>
      <c r="IK1" s="181" t="s">
        <v>819</v>
      </c>
      <c r="IL1" s="181" t="s">
        <v>821</v>
      </c>
      <c r="IM1" s="181" t="s">
        <v>315</v>
      </c>
      <c r="IN1" s="181" t="s">
        <v>823</v>
      </c>
      <c r="IO1" s="181" t="s">
        <v>825</v>
      </c>
      <c r="IP1" s="181" t="s">
        <v>316</v>
      </c>
      <c r="IQ1" s="181" t="s">
        <v>827</v>
      </c>
      <c r="IR1" s="181" t="s">
        <v>829</v>
      </c>
      <c r="IS1" s="181" t="s">
        <v>831</v>
      </c>
      <c r="IT1" s="181" t="s">
        <v>833</v>
      </c>
      <c r="IU1" s="181" t="s">
        <v>317</v>
      </c>
      <c r="IV1" s="181" t="s">
        <v>835</v>
      </c>
      <c r="IW1" s="190" t="s">
        <v>318</v>
      </c>
      <c r="IX1" s="181" t="s">
        <v>843</v>
      </c>
      <c r="IY1" s="181" t="s">
        <v>845</v>
      </c>
      <c r="IZ1" s="181" t="s">
        <v>319</v>
      </c>
      <c r="JA1" s="181" t="s">
        <v>847</v>
      </c>
      <c r="JB1" s="181" t="s">
        <v>849</v>
      </c>
      <c r="JC1" s="181" t="s">
        <v>851</v>
      </c>
      <c r="JD1" s="190" t="s">
        <v>320</v>
      </c>
      <c r="JE1" s="181" t="s">
        <v>853</v>
      </c>
      <c r="JF1" s="181" t="s">
        <v>321</v>
      </c>
      <c r="JG1" s="181" t="s">
        <v>856</v>
      </c>
      <c r="JH1" s="181" t="s">
        <v>858</v>
      </c>
      <c r="JI1" s="181" t="s">
        <v>860</v>
      </c>
      <c r="JJ1" s="181" t="s">
        <v>862</v>
      </c>
      <c r="JK1" s="181" t="s">
        <v>864</v>
      </c>
      <c r="JL1" s="181" t="s">
        <v>866</v>
      </c>
      <c r="JM1" s="181" t="s">
        <v>322</v>
      </c>
      <c r="JN1" s="181" t="s">
        <v>869</v>
      </c>
      <c r="JO1" s="181" t="s">
        <v>871</v>
      </c>
      <c r="JP1" s="181" t="s">
        <v>873</v>
      </c>
      <c r="JQ1" s="181" t="s">
        <v>875</v>
      </c>
      <c r="JR1" s="181" t="s">
        <v>877</v>
      </c>
      <c r="JS1" s="181" t="s">
        <v>879</v>
      </c>
      <c r="JT1" s="181" t="s">
        <v>881</v>
      </c>
      <c r="JU1" s="181" t="s">
        <v>883</v>
      </c>
      <c r="JV1" s="181" t="s">
        <v>323</v>
      </c>
      <c r="JW1" s="181" t="s">
        <v>886</v>
      </c>
      <c r="JX1" s="181" t="s">
        <v>888</v>
      </c>
      <c r="JY1" s="181" t="s">
        <v>890</v>
      </c>
      <c r="JZ1" s="181" t="s">
        <v>892</v>
      </c>
      <c r="KA1" s="181" t="s">
        <v>893</v>
      </c>
      <c r="KB1" s="181" t="s">
        <v>895</v>
      </c>
      <c r="KC1" s="181" t="s">
        <v>897</v>
      </c>
      <c r="KD1" s="181" t="s">
        <v>899</v>
      </c>
      <c r="KE1" s="181" t="s">
        <v>901</v>
      </c>
      <c r="KF1" s="181" t="s">
        <v>903</v>
      </c>
      <c r="KG1" s="181" t="s">
        <v>905</v>
      </c>
      <c r="KH1" s="181" t="s">
        <v>907</v>
      </c>
      <c r="KI1" s="181" t="s">
        <v>909</v>
      </c>
      <c r="KJ1" s="181" t="s">
        <v>911</v>
      </c>
      <c r="KK1" s="181" t="s">
        <v>913</v>
      </c>
      <c r="KL1" s="181" t="s">
        <v>915</v>
      </c>
      <c r="KM1" s="181" t="s">
        <v>917</v>
      </c>
      <c r="KN1" s="181" t="s">
        <v>919</v>
      </c>
      <c r="KO1" s="181" t="s">
        <v>921</v>
      </c>
      <c r="KP1" s="181" t="s">
        <v>923</v>
      </c>
      <c r="KQ1" s="181" t="s">
        <v>925</v>
      </c>
      <c r="KR1" s="181" t="s">
        <v>927</v>
      </c>
      <c r="KS1" s="181" t="s">
        <v>929</v>
      </c>
      <c r="KT1" s="181" t="s">
        <v>931</v>
      </c>
      <c r="KU1" s="181" t="s">
        <v>933</v>
      </c>
      <c r="KV1" s="181" t="s">
        <v>935</v>
      </c>
      <c r="KW1" s="190" t="s">
        <v>324</v>
      </c>
      <c r="KX1" s="181" t="s">
        <v>937</v>
      </c>
      <c r="KY1" s="181" t="s">
        <v>325</v>
      </c>
      <c r="KZ1" s="181" t="s">
        <v>940</v>
      </c>
      <c r="LA1" s="181" t="s">
        <v>942</v>
      </c>
      <c r="LB1" s="181" t="s">
        <v>944</v>
      </c>
      <c r="LC1" s="181" t="s">
        <v>946</v>
      </c>
      <c r="LD1" s="181" t="s">
        <v>326</v>
      </c>
      <c r="LE1" s="181" t="s">
        <v>949</v>
      </c>
      <c r="LF1" s="181" t="s">
        <v>951</v>
      </c>
      <c r="LG1" s="181" t="s">
        <v>953</v>
      </c>
      <c r="LH1" s="181" t="s">
        <v>955</v>
      </c>
      <c r="LI1" s="181" t="s">
        <v>957</v>
      </c>
      <c r="LJ1" s="181" t="s">
        <v>959</v>
      </c>
      <c r="LK1" s="181" t="s">
        <v>961</v>
      </c>
      <c r="LL1" s="178" t="s">
        <v>328</v>
      </c>
      <c r="LM1" s="190" t="s">
        <v>329</v>
      </c>
      <c r="LN1" s="181" t="s">
        <v>330</v>
      </c>
      <c r="LO1" s="181" t="s">
        <v>331</v>
      </c>
      <c r="LP1" s="190" t="s">
        <v>332</v>
      </c>
      <c r="LQ1" s="181" t="s">
        <v>333</v>
      </c>
      <c r="LR1" s="181" t="s">
        <v>981</v>
      </c>
      <c r="LS1" s="181" t="s">
        <v>983</v>
      </c>
      <c r="LT1" s="181" t="s">
        <v>984</v>
      </c>
      <c r="LU1" s="181" t="s">
        <v>986</v>
      </c>
      <c r="LV1" s="181" t="s">
        <v>987</v>
      </c>
      <c r="LW1" s="181" t="s">
        <v>989</v>
      </c>
      <c r="LX1" s="181" t="s">
        <v>991</v>
      </c>
      <c r="LY1" s="181" t="s">
        <v>993</v>
      </c>
      <c r="LZ1" s="181" t="s">
        <v>995</v>
      </c>
      <c r="MA1" s="181" t="s">
        <v>334</v>
      </c>
      <c r="MB1" s="181" t="s">
        <v>998</v>
      </c>
      <c r="MC1" s="181" t="s">
        <v>999</v>
      </c>
      <c r="MD1" s="181" t="s">
        <v>1001</v>
      </c>
      <c r="ME1" s="181" t="s">
        <v>335</v>
      </c>
      <c r="MF1" s="181" t="s">
        <v>1004</v>
      </c>
      <c r="MG1" s="181" t="s">
        <v>1005</v>
      </c>
      <c r="MH1" s="181" t="s">
        <v>1007</v>
      </c>
      <c r="MI1" s="181" t="s">
        <v>1009</v>
      </c>
      <c r="MJ1" s="181" t="s">
        <v>336</v>
      </c>
      <c r="MK1" s="181" t="s">
        <v>1012</v>
      </c>
      <c r="ML1" s="181" t="s">
        <v>1014</v>
      </c>
      <c r="MM1" s="181" t="s">
        <v>1016</v>
      </c>
      <c r="MN1" s="181" t="s">
        <v>1018</v>
      </c>
      <c r="MO1" s="181" t="s">
        <v>337</v>
      </c>
      <c r="MP1" s="181" t="s">
        <v>1021</v>
      </c>
      <c r="MQ1" s="181" t="s">
        <v>1023</v>
      </c>
      <c r="MR1" s="181" t="s">
        <v>1025</v>
      </c>
      <c r="MS1" s="181" t="s">
        <v>1027</v>
      </c>
      <c r="MT1" s="181" t="s">
        <v>1029</v>
      </c>
      <c r="MU1" s="181" t="s">
        <v>1031</v>
      </c>
      <c r="MV1" s="181" t="s">
        <v>1033</v>
      </c>
      <c r="MW1" s="181" t="s">
        <v>1035</v>
      </c>
      <c r="MX1" s="181" t="s">
        <v>1037</v>
      </c>
      <c r="MY1" s="181" t="s">
        <v>1039</v>
      </c>
      <c r="MZ1" s="181" t="s">
        <v>1041</v>
      </c>
      <c r="NA1" s="181" t="s">
        <v>1042</v>
      </c>
      <c r="NB1" s="190" t="s">
        <v>338</v>
      </c>
      <c r="NC1" s="181" t="s">
        <v>339</v>
      </c>
      <c r="ND1" s="181" t="s">
        <v>1044</v>
      </c>
      <c r="NE1" s="181" t="s">
        <v>1046</v>
      </c>
      <c r="NF1" s="181" t="s">
        <v>1048</v>
      </c>
      <c r="NG1" s="181" t="s">
        <v>1050</v>
      </c>
      <c r="NH1" s="190" t="s">
        <v>340</v>
      </c>
      <c r="NI1" s="181" t="s">
        <v>341</v>
      </c>
      <c r="NJ1" s="181" t="s">
        <v>1051</v>
      </c>
      <c r="NK1" s="181" t="s">
        <v>342</v>
      </c>
      <c r="NL1" s="181" t="s">
        <v>1053</v>
      </c>
      <c r="NM1" s="181" t="s">
        <v>1055</v>
      </c>
      <c r="NN1" s="181" t="s">
        <v>343</v>
      </c>
      <c r="NO1" s="181" t="s">
        <v>1057</v>
      </c>
      <c r="NP1" s="181" t="s">
        <v>1059</v>
      </c>
      <c r="NQ1" s="178" t="s">
        <v>329</v>
      </c>
      <c r="NR1" s="190" t="s">
        <v>330</v>
      </c>
      <c r="NS1" s="181" t="s">
        <v>344</v>
      </c>
      <c r="NT1" s="181" t="s">
        <v>963</v>
      </c>
      <c r="NU1" s="181" t="s">
        <v>965</v>
      </c>
      <c r="NV1" s="181" t="s">
        <v>967</v>
      </c>
      <c r="NW1" s="181" t="s">
        <v>969</v>
      </c>
      <c r="NX1" s="181" t="s">
        <v>345</v>
      </c>
      <c r="NY1" s="181" t="s">
        <v>971</v>
      </c>
      <c r="NZ1" s="181" t="s">
        <v>346</v>
      </c>
      <c r="OA1" s="181" t="s">
        <v>973</v>
      </c>
      <c r="OB1" s="190" t="s">
        <v>331</v>
      </c>
      <c r="OC1" s="181" t="s">
        <v>975</v>
      </c>
      <c r="OD1" s="181" t="s">
        <v>347</v>
      </c>
      <c r="OE1" s="178" t="s">
        <v>331</v>
      </c>
      <c r="OF1" s="190" t="s">
        <v>347</v>
      </c>
      <c r="OG1" s="181" t="s">
        <v>977</v>
      </c>
      <c r="OH1" s="181" t="s">
        <v>979</v>
      </c>
      <c r="OI1" s="181" t="s">
        <v>348</v>
      </c>
      <c r="OJ1" s="178" t="s">
        <v>349</v>
      </c>
      <c r="OK1" s="190" t="s">
        <v>350</v>
      </c>
      <c r="OL1" s="181" t="s">
        <v>351</v>
      </c>
      <c r="OM1" s="181" t="s">
        <v>1060</v>
      </c>
      <c r="ON1" s="181" t="s">
        <v>1062</v>
      </c>
      <c r="OO1" s="181" t="s">
        <v>352</v>
      </c>
      <c r="OP1" s="181" t="s">
        <v>362</v>
      </c>
      <c r="OQ1" s="181" t="s">
        <v>1064</v>
      </c>
      <c r="OR1" s="181" t="s">
        <v>1066</v>
      </c>
      <c r="OS1" s="181" t="s">
        <v>1068</v>
      </c>
      <c r="OT1" s="181" t="s">
        <v>1070</v>
      </c>
      <c r="OU1" s="181" t="s">
        <v>1072</v>
      </c>
      <c r="OV1" s="181" t="s">
        <v>1074</v>
      </c>
      <c r="OW1" s="181" t="s">
        <v>1076</v>
      </c>
      <c r="OX1" s="181" t="s">
        <v>1078</v>
      </c>
      <c r="OY1" s="181" t="s">
        <v>1080</v>
      </c>
      <c r="OZ1" s="181" t="s">
        <v>1082</v>
      </c>
      <c r="PA1" s="181" t="s">
        <v>1084</v>
      </c>
      <c r="PB1" s="181" t="s">
        <v>1086</v>
      </c>
      <c r="PC1" s="181" t="s">
        <v>1088</v>
      </c>
      <c r="PD1" s="181" t="s">
        <v>1090</v>
      </c>
      <c r="PE1" s="181" t="s">
        <v>1092</v>
      </c>
      <c r="PF1" s="181" t="s">
        <v>1094</v>
      </c>
      <c r="PG1" s="181" t="s">
        <v>1096</v>
      </c>
      <c r="PH1" s="181" t="s">
        <v>1098</v>
      </c>
      <c r="PI1" s="181" t="s">
        <v>1100</v>
      </c>
      <c r="PJ1" s="181" t="s">
        <v>1102</v>
      </c>
      <c r="PK1" s="181" t="s">
        <v>1104</v>
      </c>
      <c r="PL1" s="181" t="s">
        <v>1106</v>
      </c>
      <c r="PM1" s="181" t="s">
        <v>363</v>
      </c>
      <c r="PN1" s="181" t="s">
        <v>1109</v>
      </c>
      <c r="PO1" s="181" t="s">
        <v>1111</v>
      </c>
      <c r="PP1" s="181" t="s">
        <v>1112</v>
      </c>
      <c r="PQ1" s="181" t="s">
        <v>1114</v>
      </c>
      <c r="PR1" s="181" t="s">
        <v>1116</v>
      </c>
      <c r="PS1" s="181" t="s">
        <v>1118</v>
      </c>
      <c r="PT1" s="181" t="s">
        <v>1120</v>
      </c>
      <c r="PU1" s="181" t="s">
        <v>1122</v>
      </c>
      <c r="PV1" s="181" t="s">
        <v>1124</v>
      </c>
      <c r="PW1" s="181" t="s">
        <v>1126</v>
      </c>
      <c r="PX1" s="181" t="s">
        <v>1128</v>
      </c>
      <c r="PY1" s="181" t="s">
        <v>1130</v>
      </c>
      <c r="PZ1" s="181" t="s">
        <v>1132</v>
      </c>
      <c r="QA1" s="181" t="s">
        <v>1134</v>
      </c>
      <c r="QB1" s="181" t="s">
        <v>1136</v>
      </c>
      <c r="QC1" s="181" t="s">
        <v>1138</v>
      </c>
      <c r="QD1" s="181" t="s">
        <v>1140</v>
      </c>
      <c r="QE1" s="181" t="s">
        <v>1142</v>
      </c>
      <c r="QF1" s="181" t="s">
        <v>1144</v>
      </c>
      <c r="QG1" s="181" t="s">
        <v>1146</v>
      </c>
      <c r="QH1" s="181" t="s">
        <v>1148</v>
      </c>
      <c r="QI1" s="181" t="s">
        <v>1150</v>
      </c>
      <c r="QJ1" s="181" t="s">
        <v>1152</v>
      </c>
      <c r="QK1" s="181" t="s">
        <v>1154</v>
      </c>
      <c r="QL1" s="181" t="s">
        <v>1156</v>
      </c>
      <c r="QM1" s="181" t="s">
        <v>1158</v>
      </c>
      <c r="QN1" s="181" t="s">
        <v>353</v>
      </c>
      <c r="QO1" s="181" t="s">
        <v>1160</v>
      </c>
      <c r="QP1" s="181" t="s">
        <v>1162</v>
      </c>
      <c r="QQ1" s="181" t="s">
        <v>1164</v>
      </c>
      <c r="QR1" s="181" t="s">
        <v>1166</v>
      </c>
      <c r="QS1" s="181" t="s">
        <v>1168</v>
      </c>
      <c r="QT1" s="190" t="s">
        <v>354</v>
      </c>
      <c r="QU1" s="181" t="s">
        <v>355</v>
      </c>
      <c r="QV1" s="181" t="s">
        <v>1170</v>
      </c>
      <c r="QW1" s="181" t="s">
        <v>1172</v>
      </c>
      <c r="QX1" s="181" t="s">
        <v>1174</v>
      </c>
      <c r="QY1" s="181" t="s">
        <v>1176</v>
      </c>
      <c r="QZ1" s="181" t="s">
        <v>1178</v>
      </c>
      <c r="RA1" s="181" t="s">
        <v>1180</v>
      </c>
      <c r="RB1" s="190" t="s">
        <v>356</v>
      </c>
      <c r="RC1" s="181" t="s">
        <v>1182</v>
      </c>
      <c r="RD1" s="181" t="s">
        <v>357</v>
      </c>
      <c r="RE1" s="190" t="s">
        <v>358</v>
      </c>
      <c r="RF1" s="181" t="s">
        <v>359</v>
      </c>
      <c r="RG1" s="181" t="s">
        <v>1212</v>
      </c>
      <c r="RH1" s="181" t="s">
        <v>1214</v>
      </c>
      <c r="RI1" s="190" t="s">
        <v>360</v>
      </c>
      <c r="RJ1" s="181" t="s">
        <v>361</v>
      </c>
      <c r="RK1" s="181" t="s">
        <v>1216</v>
      </c>
      <c r="RL1" s="181" t="s">
        <v>1217</v>
      </c>
      <c r="RM1" s="181" t="s">
        <v>1218</v>
      </c>
      <c r="RN1" s="181" t="s">
        <v>1219</v>
      </c>
      <c r="RO1" s="181" t="s">
        <v>1221</v>
      </c>
      <c r="RP1" s="181" t="s">
        <v>1222</v>
      </c>
      <c r="RQ1" s="181" t="s">
        <v>1224</v>
      </c>
      <c r="RR1" s="181" t="s">
        <v>1225</v>
      </c>
      <c r="RS1" s="178" t="s">
        <v>356</v>
      </c>
      <c r="RT1" s="190" t="s">
        <v>357</v>
      </c>
      <c r="RU1" s="181" t="s">
        <v>364</v>
      </c>
      <c r="RV1" s="181" t="s">
        <v>1184</v>
      </c>
      <c r="RW1" s="181" t="s">
        <v>1186</v>
      </c>
      <c r="RX1" s="181" t="s">
        <v>1188</v>
      </c>
      <c r="RY1" s="181" t="s">
        <v>1190</v>
      </c>
      <c r="RZ1" s="181" t="s">
        <v>1192</v>
      </c>
      <c r="SA1" s="181" t="s">
        <v>1194</v>
      </c>
      <c r="SB1" s="181" t="s">
        <v>1196</v>
      </c>
      <c r="SC1" s="181" t="s">
        <v>1198</v>
      </c>
      <c r="SD1" s="181" t="s">
        <v>1200</v>
      </c>
      <c r="SE1" s="181" t="s">
        <v>1202</v>
      </c>
      <c r="SF1" s="181" t="s">
        <v>1204</v>
      </c>
      <c r="SG1" s="181" t="s">
        <v>1206</v>
      </c>
      <c r="SH1" s="181" t="s">
        <v>1208</v>
      </c>
      <c r="SI1" s="181" t="s">
        <v>1210</v>
      </c>
      <c r="SJ1" s="178" t="s">
        <v>365</v>
      </c>
      <c r="SK1" s="190" t="s">
        <v>366</v>
      </c>
      <c r="SL1" s="181" t="s">
        <v>367</v>
      </c>
      <c r="SM1" s="181" t="s">
        <v>1227</v>
      </c>
      <c r="SN1" s="181" t="s">
        <v>1229</v>
      </c>
      <c r="SO1" s="181" t="s">
        <v>368</v>
      </c>
      <c r="SP1" s="181" t="s">
        <v>1231</v>
      </c>
      <c r="SQ1" s="181" t="s">
        <v>1233</v>
      </c>
      <c r="SR1" s="181" t="s">
        <v>1235</v>
      </c>
      <c r="SS1" s="181" t="s">
        <v>1237</v>
      </c>
      <c r="ST1" s="190" t="s">
        <v>369</v>
      </c>
      <c r="SU1" s="181" t="s">
        <v>370</v>
      </c>
      <c r="SV1" s="181" t="s">
        <v>1239</v>
      </c>
      <c r="SW1" s="181" t="s">
        <v>1241</v>
      </c>
      <c r="SX1" s="181" t="s">
        <v>1243</v>
      </c>
      <c r="SY1" s="181" t="s">
        <v>1245</v>
      </c>
      <c r="SZ1" s="181" t="s">
        <v>1247</v>
      </c>
      <c r="TA1" s="181" t="s">
        <v>1249</v>
      </c>
      <c r="TB1" s="181" t="s">
        <v>1251</v>
      </c>
      <c r="TC1" s="181" t="s">
        <v>1253</v>
      </c>
      <c r="TD1" s="181" t="s">
        <v>1255</v>
      </c>
      <c r="TE1" s="181" t="s">
        <v>1257</v>
      </c>
      <c r="TF1" s="181" t="s">
        <v>1259</v>
      </c>
      <c r="TG1" s="181" t="s">
        <v>1261</v>
      </c>
      <c r="TH1" s="181" t="s">
        <v>1263</v>
      </c>
      <c r="TI1" s="181" t="s">
        <v>1265</v>
      </c>
      <c r="TJ1" s="181" t="s">
        <v>1267</v>
      </c>
      <c r="TK1" s="178" t="s">
        <v>371</v>
      </c>
      <c r="TL1" s="190" t="s">
        <v>372</v>
      </c>
      <c r="TM1" s="181" t="s">
        <v>373</v>
      </c>
      <c r="TN1" s="181" t="s">
        <v>1269</v>
      </c>
      <c r="TO1" s="181" t="s">
        <v>1271</v>
      </c>
      <c r="TP1" s="181" t="s">
        <v>1273</v>
      </c>
      <c r="TQ1" s="181" t="s">
        <v>1275</v>
      </c>
      <c r="TR1" s="181" t="s">
        <v>1277</v>
      </c>
      <c r="TS1" s="181" t="s">
        <v>374</v>
      </c>
      <c r="TT1" s="181" t="s">
        <v>1279</v>
      </c>
      <c r="TU1" s="181" t="s">
        <v>1281</v>
      </c>
      <c r="TV1" s="181" t="s">
        <v>1283</v>
      </c>
      <c r="TW1" s="181" t="s">
        <v>1285</v>
      </c>
      <c r="TX1" s="181" t="s">
        <v>1287</v>
      </c>
      <c r="TY1" s="181" t="s">
        <v>1289</v>
      </c>
      <c r="TZ1" s="190" t="s">
        <v>375</v>
      </c>
      <c r="UA1" s="181" t="s">
        <v>376</v>
      </c>
      <c r="UB1" s="181" t="s">
        <v>377</v>
      </c>
      <c r="UC1" s="181" t="s">
        <v>1291</v>
      </c>
      <c r="UD1" s="181" t="s">
        <v>1293</v>
      </c>
      <c r="UE1" s="181" t="s">
        <v>1294</v>
      </c>
      <c r="UF1" s="181" t="s">
        <v>1296</v>
      </c>
      <c r="UG1" s="181" t="s">
        <v>1298</v>
      </c>
      <c r="UH1" s="181" t="s">
        <v>1300</v>
      </c>
      <c r="UI1" s="181" t="s">
        <v>1302</v>
      </c>
      <c r="UJ1" s="181" t="s">
        <v>1304</v>
      </c>
      <c r="UK1" s="181" t="s">
        <v>1306</v>
      </c>
      <c r="UL1" s="181" t="s">
        <v>1308</v>
      </c>
      <c r="UM1" s="181" t="s">
        <v>1310</v>
      </c>
      <c r="UN1" s="181" t="s">
        <v>1312</v>
      </c>
      <c r="UO1" s="181" t="s">
        <v>1314</v>
      </c>
      <c r="UP1" s="181" t="s">
        <v>1316</v>
      </c>
      <c r="UQ1" s="181" t="s">
        <v>1318</v>
      </c>
      <c r="UR1" s="181" t="s">
        <v>1320</v>
      </c>
      <c r="US1" s="178" t="s">
        <v>1322</v>
      </c>
      <c r="UT1" s="181" t="s">
        <v>1324</v>
      </c>
      <c r="UU1" s="181" t="s">
        <v>1326</v>
      </c>
      <c r="UV1" s="181" t="s">
        <v>1328</v>
      </c>
      <c r="UW1" s="181" t="s">
        <v>1330</v>
      </c>
      <c r="UX1" s="181" t="s">
        <v>1332</v>
      </c>
      <c r="UY1" s="184"/>
    </row>
    <row r="2" spans="1:571" s="122" customFormat="1" hidden="1" x14ac:dyDescent="0.25">
      <c r="K2" s="160"/>
      <c r="Z2" s="464"/>
      <c r="AB2" s="122" t="s">
        <v>127</v>
      </c>
      <c r="AC2" s="122" t="s">
        <v>128</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245</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1676</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659" t="s">
        <v>391</v>
      </c>
      <c r="L10" s="659"/>
      <c r="M10" s="659"/>
      <c r="N10" s="659"/>
      <c r="O10" s="659"/>
      <c r="P10" s="659"/>
      <c r="Q10" s="659"/>
      <c r="R10" s="659"/>
      <c r="S10" s="659"/>
      <c r="T10" s="659"/>
      <c r="U10" s="659"/>
      <c r="V10" s="659"/>
      <c r="W10" s="659"/>
      <c r="X10" s="659"/>
      <c r="Y10" s="659"/>
      <c r="Z10" s="659"/>
      <c r="AA10" s="659"/>
    </row>
    <row r="11" spans="1:571" ht="79.5" thickBot="1" x14ac:dyDescent="0.3">
      <c r="A11" s="374"/>
      <c r="B11" s="322" t="s">
        <v>131</v>
      </c>
      <c r="C11" s="193" t="s">
        <v>130</v>
      </c>
      <c r="D11" s="194" t="s">
        <v>127</v>
      </c>
      <c r="E11" s="211" t="s">
        <v>1675</v>
      </c>
      <c r="F11" s="194" t="s">
        <v>246</v>
      </c>
      <c r="G11" s="194" t="s">
        <v>458</v>
      </c>
      <c r="H11" s="194" t="s">
        <v>460</v>
      </c>
      <c r="I11" s="211" t="s">
        <v>461</v>
      </c>
      <c r="J11" s="194" t="s">
        <v>459</v>
      </c>
      <c r="K11" s="340" t="s">
        <v>1355</v>
      </c>
      <c r="L11" s="340" t="s">
        <v>1357</v>
      </c>
      <c r="M11" s="340" t="s">
        <v>469</v>
      </c>
      <c r="N11" s="340" t="s">
        <v>1356</v>
      </c>
      <c r="O11" s="340" t="s">
        <v>1358</v>
      </c>
      <c r="P11" s="340" t="s">
        <v>470</v>
      </c>
      <c r="Q11" s="340" t="s">
        <v>1359</v>
      </c>
      <c r="R11" s="340" t="s">
        <v>1360</v>
      </c>
      <c r="S11" s="340" t="s">
        <v>1361</v>
      </c>
      <c r="T11" s="340" t="s">
        <v>1443</v>
      </c>
      <c r="U11" s="340" t="s">
        <v>1362</v>
      </c>
      <c r="V11" s="340" t="s">
        <v>1363</v>
      </c>
      <c r="W11" s="340" t="s">
        <v>1364</v>
      </c>
      <c r="X11" s="340" t="s">
        <v>1365</v>
      </c>
      <c r="Y11" s="340" t="s">
        <v>1366</v>
      </c>
      <c r="Z11" s="340" t="s">
        <v>1468</v>
      </c>
      <c r="AA11" s="340" t="s">
        <v>1503</v>
      </c>
      <c r="AB11" s="339" t="s">
        <v>392</v>
      </c>
      <c r="AC11" s="211" t="s">
        <v>410</v>
      </c>
      <c r="AD11" s="211" t="s">
        <v>393</v>
      </c>
      <c r="AE11" s="211" t="s">
        <v>407</v>
      </c>
      <c r="AF11" s="211" t="s">
        <v>394</v>
      </c>
      <c r="AG11" s="211" t="s">
        <v>395</v>
      </c>
      <c r="AH11" s="211" t="s">
        <v>396</v>
      </c>
      <c r="AI11" s="211" t="s">
        <v>406</v>
      </c>
      <c r="AJ11" s="211" t="s">
        <v>397</v>
      </c>
      <c r="AK11" s="211" t="s">
        <v>398</v>
      </c>
      <c r="AL11" s="211" t="s">
        <v>399</v>
      </c>
      <c r="AM11" s="211" t="s">
        <v>405</v>
      </c>
      <c r="AN11" s="211" t="s">
        <v>400</v>
      </c>
      <c r="AO11" s="211" t="s">
        <v>401</v>
      </c>
      <c r="AP11" s="211" t="s">
        <v>402</v>
      </c>
      <c r="AQ11" s="211" t="s">
        <v>404</v>
      </c>
      <c r="AR11" s="211" t="s">
        <v>403</v>
      </c>
    </row>
    <row r="12" spans="1:571" x14ac:dyDescent="0.25">
      <c r="A12" s="373"/>
      <c r="B12" s="187" t="s">
        <v>249</v>
      </c>
      <c r="C12" s="188" t="s">
        <v>132</v>
      </c>
      <c r="D12" s="189">
        <f>D13+D47+D83+D89+D96</f>
        <v>0</v>
      </c>
      <c r="E12" s="189">
        <f>E13+E47+E83+E89+E96</f>
        <v>1305000</v>
      </c>
      <c r="F12" s="189">
        <f t="shared" ref="F12:F50" si="0">D12+E12</f>
        <v>1305000</v>
      </c>
      <c r="G12" s="189">
        <f>G13+G47+G83+G89+G96</f>
        <v>0</v>
      </c>
      <c r="H12" s="189">
        <f t="shared" ref="H12:H50" si="1">F12-G12</f>
        <v>1305000</v>
      </c>
      <c r="I12" s="189">
        <f>I13+I47+I83+I89+I96</f>
        <v>0</v>
      </c>
      <c r="J12" s="189">
        <f t="shared" ref="J12:J46" si="2">F12-I12</f>
        <v>1305000</v>
      </c>
      <c r="K12" s="189">
        <f t="shared" ref="K12:AD12" si="3">K13+K47+K83+K89+K96</f>
        <v>0</v>
      </c>
      <c r="L12" s="189">
        <f t="shared" si="3"/>
        <v>0</v>
      </c>
      <c r="M12" s="189">
        <f t="shared" si="3"/>
        <v>0</v>
      </c>
      <c r="N12" s="189">
        <f t="shared" si="3"/>
        <v>0</v>
      </c>
      <c r="O12" s="189">
        <f t="shared" si="3"/>
        <v>0</v>
      </c>
      <c r="P12" s="189">
        <f t="shared" si="3"/>
        <v>0</v>
      </c>
      <c r="Q12" s="189">
        <f t="shared" si="3"/>
        <v>0</v>
      </c>
      <c r="R12" s="189">
        <f t="shared" si="3"/>
        <v>0</v>
      </c>
      <c r="S12" s="189">
        <f t="shared" si="3"/>
        <v>0</v>
      </c>
      <c r="T12" s="189">
        <f>T13+T47+T83+T89+T96</f>
        <v>0</v>
      </c>
      <c r="U12" s="189">
        <f t="shared" si="3"/>
        <v>0</v>
      </c>
      <c r="V12" s="189">
        <f t="shared" si="3"/>
        <v>0</v>
      </c>
      <c r="W12" s="189">
        <f t="shared" si="3"/>
        <v>0</v>
      </c>
      <c r="X12" s="189">
        <f t="shared" si="3"/>
        <v>0</v>
      </c>
      <c r="Y12" s="189">
        <f>Y13+Y47+Y83+Y89+Y96</f>
        <v>1305000</v>
      </c>
      <c r="Z12" s="189">
        <f>Z13+Z47+Z83+Z89+Z96</f>
        <v>0</v>
      </c>
      <c r="AA12" s="189">
        <f t="shared" si="3"/>
        <v>0</v>
      </c>
      <c r="AB12" s="189">
        <f t="shared" si="3"/>
        <v>0</v>
      </c>
      <c r="AC12" s="189">
        <f t="shared" si="3"/>
        <v>1305000</v>
      </c>
      <c r="AD12" s="189">
        <f t="shared" si="3"/>
        <v>0</v>
      </c>
      <c r="AE12" s="189">
        <f t="shared" ref="AE12:AE50" si="4">AB12+AC12+AD12</f>
        <v>1305000</v>
      </c>
      <c r="AF12" s="189">
        <f>AF13+AF47+AF83+AF89+AF96</f>
        <v>0</v>
      </c>
      <c r="AG12" s="189">
        <f>AG13+AG47+AG83+AG89+AG96</f>
        <v>0</v>
      </c>
      <c r="AH12" s="189">
        <f>AH13+AH47+AH83+AH89+AH96</f>
        <v>0</v>
      </c>
      <c r="AI12" s="189">
        <f t="shared" ref="AI12:AI50" si="5">AF12+AG12+AH12</f>
        <v>0</v>
      </c>
      <c r="AJ12" s="189">
        <f>AJ13+AJ47+AJ83+AJ89+AJ96</f>
        <v>0</v>
      </c>
      <c r="AK12" s="189">
        <f>AK13+AK47+AK83+AK89+AK96</f>
        <v>0</v>
      </c>
      <c r="AL12" s="189">
        <f>AL13+AL47+AL83+AL89+AL96</f>
        <v>0</v>
      </c>
      <c r="AM12" s="189">
        <f t="shared" ref="AM12:AM50" si="6">AJ12+AK12+AL12</f>
        <v>0</v>
      </c>
      <c r="AN12" s="189">
        <f>AN13+AN47+AN83+AN89+AN96</f>
        <v>0</v>
      </c>
      <c r="AO12" s="189">
        <f>AO13+AO47+AO83+AO89+AO96</f>
        <v>0</v>
      </c>
      <c r="AP12" s="189">
        <f>AP13+AP47+AP83+AP89+AP96</f>
        <v>0</v>
      </c>
      <c r="AQ12" s="189">
        <f t="shared" ref="AQ12:AQ50" si="7">AN12+AO12+AP12</f>
        <v>0</v>
      </c>
      <c r="AR12" s="189">
        <f t="shared" ref="AR12:AR50" si="8">AE12+AI12+AM12+AQ12</f>
        <v>1305000</v>
      </c>
    </row>
    <row r="13" spans="1:571" x14ac:dyDescent="0.25">
      <c r="B13" s="190" t="s">
        <v>250</v>
      </c>
      <c r="C13" s="191" t="s">
        <v>133</v>
      </c>
      <c r="D13" s="192">
        <f>SUM(D14:D46)</f>
        <v>0</v>
      </c>
      <c r="E13" s="192">
        <f>SUM(E14:E46)</f>
        <v>1305000</v>
      </c>
      <c r="F13" s="192">
        <f t="shared" si="0"/>
        <v>1305000</v>
      </c>
      <c r="G13" s="192">
        <f>SUM(G14:G46)</f>
        <v>0</v>
      </c>
      <c r="H13" s="192">
        <f t="shared" si="1"/>
        <v>1305000</v>
      </c>
      <c r="I13" s="192">
        <f>SUM(I14:I46)</f>
        <v>0</v>
      </c>
      <c r="J13" s="192">
        <f t="shared" si="2"/>
        <v>1305000</v>
      </c>
      <c r="K13" s="192">
        <f t="shared" ref="K13:AD13" si="9">SUM(K14:K46)</f>
        <v>0</v>
      </c>
      <c r="L13" s="192">
        <f t="shared" si="9"/>
        <v>0</v>
      </c>
      <c r="M13" s="192">
        <f t="shared" si="9"/>
        <v>0</v>
      </c>
      <c r="N13" s="192">
        <f t="shared" si="9"/>
        <v>0</v>
      </c>
      <c r="O13" s="192">
        <f t="shared" si="9"/>
        <v>0</v>
      </c>
      <c r="P13" s="192">
        <f t="shared" si="9"/>
        <v>0</v>
      </c>
      <c r="Q13" s="192">
        <f t="shared" si="9"/>
        <v>0</v>
      </c>
      <c r="R13" s="192">
        <f t="shared" si="9"/>
        <v>0</v>
      </c>
      <c r="S13" s="192">
        <f t="shared" si="9"/>
        <v>0</v>
      </c>
      <c r="T13" s="192">
        <f>SUM(T14:T46)</f>
        <v>0</v>
      </c>
      <c r="U13" s="192">
        <f t="shared" si="9"/>
        <v>0</v>
      </c>
      <c r="V13" s="192">
        <f t="shared" si="9"/>
        <v>0</v>
      </c>
      <c r="W13" s="192">
        <f t="shared" si="9"/>
        <v>0</v>
      </c>
      <c r="X13" s="192">
        <f t="shared" si="9"/>
        <v>0</v>
      </c>
      <c r="Y13" s="192">
        <f>SUM(Y14:Y46)</f>
        <v>1305000</v>
      </c>
      <c r="Z13" s="192">
        <f>SUM(Z14:Z46)</f>
        <v>0</v>
      </c>
      <c r="AA13" s="192">
        <f t="shared" si="9"/>
        <v>0</v>
      </c>
      <c r="AB13" s="192">
        <f t="shared" si="9"/>
        <v>0</v>
      </c>
      <c r="AC13" s="192">
        <f t="shared" si="9"/>
        <v>1305000</v>
      </c>
      <c r="AD13" s="192">
        <f t="shared" si="9"/>
        <v>0</v>
      </c>
      <c r="AE13" s="192">
        <f t="shared" si="4"/>
        <v>1305000</v>
      </c>
      <c r="AF13" s="192">
        <f>SUM(AF14:AF46)</f>
        <v>0</v>
      </c>
      <c r="AG13" s="192">
        <f>SUM(AG14:AG46)</f>
        <v>0</v>
      </c>
      <c r="AH13" s="192">
        <f>SUM(AH14:AH46)</f>
        <v>0</v>
      </c>
      <c r="AI13" s="192">
        <f t="shared" si="5"/>
        <v>0</v>
      </c>
      <c r="AJ13" s="192">
        <f>SUM(AJ14:AJ46)</f>
        <v>0</v>
      </c>
      <c r="AK13" s="192">
        <f>SUM(AK14:AK46)</f>
        <v>0</v>
      </c>
      <c r="AL13" s="192">
        <f>SUM(AL14:AL46)</f>
        <v>0</v>
      </c>
      <c r="AM13" s="192">
        <f t="shared" si="6"/>
        <v>0</v>
      </c>
      <c r="AN13" s="192">
        <f>SUM(AN14:AN46)</f>
        <v>0</v>
      </c>
      <c r="AO13" s="192">
        <f>SUM(AO14:AO46)</f>
        <v>0</v>
      </c>
      <c r="AP13" s="192">
        <f>SUM(AP14:AP46)</f>
        <v>0</v>
      </c>
      <c r="AQ13" s="192">
        <f t="shared" si="7"/>
        <v>0</v>
      </c>
      <c r="AR13" s="192">
        <f t="shared" si="8"/>
        <v>1305000</v>
      </c>
    </row>
    <row r="14" spans="1:571" x14ac:dyDescent="0.25">
      <c r="B14" s="181" t="s">
        <v>251</v>
      </c>
      <c r="C14" s="182" t="s">
        <v>134</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1"/>
        <v>0</v>
      </c>
      <c r="I14" s="183"/>
      <c r="J14" s="183">
        <f t="shared" si="2"/>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4"/>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5"/>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6"/>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7"/>
        <v>0</v>
      </c>
      <c r="AR14" s="183">
        <f t="shared" si="8"/>
        <v>0</v>
      </c>
    </row>
    <row r="15" spans="1:571" x14ac:dyDescent="0.25">
      <c r="B15" s="181" t="s">
        <v>494</v>
      </c>
      <c r="C15" s="182" t="s">
        <v>495</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1044000</v>
      </c>
      <c r="F15" s="183">
        <f t="shared" si="0"/>
        <v>1044000</v>
      </c>
      <c r="G15" s="183"/>
      <c r="H15" s="183">
        <f t="shared" si="1"/>
        <v>1044000</v>
      </c>
      <c r="I15" s="183"/>
      <c r="J15" s="183">
        <f t="shared" si="2"/>
        <v>1044000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1044000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1044000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4"/>
        <v>1044000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5"/>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6"/>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7"/>
        <v>0</v>
      </c>
      <c r="AR15" s="183">
        <f t="shared" si="8"/>
        <v>1044000</v>
      </c>
    </row>
    <row r="16" spans="1:571" x14ac:dyDescent="0.25">
      <c r="B16" s="181" t="s">
        <v>496</v>
      </c>
      <c r="C16" s="182" t="s">
        <v>497</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1"/>
        <v>0</v>
      </c>
      <c r="I16" s="183"/>
      <c r="J16" s="183">
        <f t="shared" si="2"/>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4"/>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5"/>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6"/>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7"/>
        <v>0</v>
      </c>
      <c r="AR16" s="183">
        <f t="shared" si="8"/>
        <v>0</v>
      </c>
    </row>
    <row r="17" spans="2:44" x14ac:dyDescent="0.25">
      <c r="B17" s="181" t="s">
        <v>498</v>
      </c>
      <c r="C17" s="182" t="s">
        <v>499</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1"/>
        <v>0</v>
      </c>
      <c r="I17" s="183"/>
      <c r="J17" s="183">
        <f t="shared" si="2"/>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4"/>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5"/>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6"/>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7"/>
        <v>0</v>
      </c>
      <c r="AR17" s="183">
        <f t="shared" si="8"/>
        <v>0</v>
      </c>
    </row>
    <row r="18" spans="2:44" x14ac:dyDescent="0.25">
      <c r="B18" s="181" t="s">
        <v>500</v>
      </c>
      <c r="C18" s="182" t="s">
        <v>501</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1"/>
        <v>0</v>
      </c>
      <c r="I18" s="183"/>
      <c r="J18" s="183">
        <f t="shared" si="2"/>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4"/>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5"/>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6"/>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7"/>
        <v>0</v>
      </c>
      <c r="AR18" s="183">
        <f t="shared" si="8"/>
        <v>0</v>
      </c>
    </row>
    <row r="19" spans="2:44" x14ac:dyDescent="0.25">
      <c r="B19" s="181" t="s">
        <v>502</v>
      </c>
      <c r="C19" s="182" t="s">
        <v>503</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1"/>
        <v>0</v>
      </c>
      <c r="I19" s="183"/>
      <c r="J19" s="183">
        <f t="shared" si="2"/>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4"/>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5"/>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6"/>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7"/>
        <v>0</v>
      </c>
      <c r="AR19" s="183">
        <f t="shared" si="8"/>
        <v>0</v>
      </c>
    </row>
    <row r="20" spans="2:44" x14ac:dyDescent="0.25">
      <c r="B20" s="181" t="s">
        <v>504</v>
      </c>
      <c r="C20" s="182" t="s">
        <v>505</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1"/>
        <v>0</v>
      </c>
      <c r="I20" s="183"/>
      <c r="J20" s="183">
        <f t="shared" si="2"/>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4"/>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5"/>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6"/>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7"/>
        <v>0</v>
      </c>
      <c r="AR20" s="183">
        <f t="shared" si="8"/>
        <v>0</v>
      </c>
    </row>
    <row r="21" spans="2:44" x14ac:dyDescent="0.25">
      <c r="B21" s="181" t="s">
        <v>252</v>
      </c>
      <c r="C21" s="182" t="s">
        <v>135</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si="0"/>
        <v>0</v>
      </c>
      <c r="G21" s="183"/>
      <c r="H21" s="183">
        <f t="shared" si="1"/>
        <v>0</v>
      </c>
      <c r="I21" s="183"/>
      <c r="J21" s="183">
        <f t="shared" si="2"/>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si="4"/>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si="5"/>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si="6"/>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si="7"/>
        <v>0</v>
      </c>
      <c r="AR21" s="183">
        <f t="shared" si="8"/>
        <v>0</v>
      </c>
    </row>
    <row r="22" spans="2:44" x14ac:dyDescent="0.25">
      <c r="B22" s="181" t="s">
        <v>507</v>
      </c>
      <c r="C22" s="182" t="s">
        <v>506</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si="0"/>
        <v>0</v>
      </c>
      <c r="G22" s="183"/>
      <c r="H22" s="183">
        <f t="shared" si="1"/>
        <v>0</v>
      </c>
      <c r="I22" s="183"/>
      <c r="J22" s="183">
        <f t="shared" si="2"/>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si="4"/>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si="5"/>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si="6"/>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si="7"/>
        <v>0</v>
      </c>
      <c r="AR22" s="183">
        <f t="shared" si="8"/>
        <v>0</v>
      </c>
    </row>
    <row r="23" spans="2:44" x14ac:dyDescent="0.25">
      <c r="B23" s="181" t="s">
        <v>253</v>
      </c>
      <c r="C23" s="182" t="s">
        <v>136</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0"/>
        <v>0</v>
      </c>
      <c r="G23" s="183"/>
      <c r="H23" s="183">
        <f t="shared" si="1"/>
        <v>0</v>
      </c>
      <c r="I23" s="183"/>
      <c r="J23" s="183">
        <f t="shared" si="2"/>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4"/>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5"/>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6"/>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7"/>
        <v>0</v>
      </c>
      <c r="AR23" s="183">
        <f t="shared" si="8"/>
        <v>0</v>
      </c>
    </row>
    <row r="24" spans="2:44" x14ac:dyDescent="0.25">
      <c r="B24" s="181" t="s">
        <v>509</v>
      </c>
      <c r="C24" s="182" t="s">
        <v>508</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si="0"/>
        <v>0</v>
      </c>
      <c r="G24" s="183"/>
      <c r="H24" s="183">
        <f t="shared" si="1"/>
        <v>0</v>
      </c>
      <c r="I24" s="183"/>
      <c r="J24" s="183">
        <f t="shared" si="2"/>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si="4"/>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si="5"/>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si="6"/>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si="7"/>
        <v>0</v>
      </c>
      <c r="AR24" s="183">
        <f t="shared" si="8"/>
        <v>0</v>
      </c>
    </row>
    <row r="25" spans="2:44" x14ac:dyDescent="0.25">
      <c r="B25" s="181" t="s">
        <v>511</v>
      </c>
      <c r="C25" s="182" t="s">
        <v>510</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0"/>
        <v>0</v>
      </c>
      <c r="G25" s="183"/>
      <c r="H25" s="183">
        <f t="shared" si="1"/>
        <v>0</v>
      </c>
      <c r="I25" s="183"/>
      <c r="J25" s="183">
        <f t="shared" si="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4"/>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5"/>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6"/>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7"/>
        <v>0</v>
      </c>
      <c r="AR25" s="183">
        <f t="shared" si="8"/>
        <v>0</v>
      </c>
    </row>
    <row r="26" spans="2:44" x14ac:dyDescent="0.25">
      <c r="B26" s="181" t="s">
        <v>513</v>
      </c>
      <c r="C26" s="182" t="s">
        <v>512</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0"/>
        <v>0</v>
      </c>
      <c r="G26" s="183"/>
      <c r="H26" s="183">
        <f t="shared" si="1"/>
        <v>0</v>
      </c>
      <c r="I26" s="183"/>
      <c r="J26" s="183">
        <f t="shared" si="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4"/>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5"/>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6"/>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7"/>
        <v>0</v>
      </c>
      <c r="AR26" s="183">
        <f t="shared" si="8"/>
        <v>0</v>
      </c>
    </row>
    <row r="27" spans="2:44" x14ac:dyDescent="0.25">
      <c r="B27" s="181" t="s">
        <v>254</v>
      </c>
      <c r="C27" s="182" t="s">
        <v>137</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0"/>
        <v>0</v>
      </c>
      <c r="G27" s="183"/>
      <c r="H27" s="183">
        <f t="shared" si="1"/>
        <v>0</v>
      </c>
      <c r="I27" s="183"/>
      <c r="J27" s="183">
        <f t="shared" si="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4"/>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5"/>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6"/>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7"/>
        <v>0</v>
      </c>
      <c r="AR27" s="183">
        <f t="shared" si="8"/>
        <v>0</v>
      </c>
    </row>
    <row r="28" spans="2:44" x14ac:dyDescent="0.25">
      <c r="B28" s="181" t="s">
        <v>514</v>
      </c>
      <c r="C28" s="182" t="s">
        <v>515</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174000</v>
      </c>
      <c r="F28" s="183">
        <f t="shared" si="0"/>
        <v>174000</v>
      </c>
      <c r="G28" s="183"/>
      <c r="H28" s="183">
        <f t="shared" si="1"/>
        <v>174000</v>
      </c>
      <c r="I28" s="183"/>
      <c r="J28" s="183">
        <f t="shared" si="2"/>
        <v>174000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174000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174000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4"/>
        <v>174000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5"/>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6"/>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7"/>
        <v>0</v>
      </c>
      <c r="AR28" s="183">
        <f t="shared" si="8"/>
        <v>174000</v>
      </c>
    </row>
    <row r="29" spans="2:44" x14ac:dyDescent="0.25">
      <c r="B29" s="181" t="s">
        <v>517</v>
      </c>
      <c r="C29" s="182" t="s">
        <v>516</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87000</v>
      </c>
      <c r="F29" s="183">
        <f t="shared" si="0"/>
        <v>87000</v>
      </c>
      <c r="G29" s="183"/>
      <c r="H29" s="183">
        <f t="shared" si="1"/>
        <v>87000</v>
      </c>
      <c r="I29" s="183"/>
      <c r="J29" s="183">
        <f t="shared" si="2"/>
        <v>87000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87000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87000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si="4"/>
        <v>87000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si="5"/>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si="6"/>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si="7"/>
        <v>0</v>
      </c>
      <c r="AR29" s="183">
        <f t="shared" si="8"/>
        <v>87000</v>
      </c>
    </row>
    <row r="30" spans="2:44" x14ac:dyDescent="0.25">
      <c r="B30" s="181" t="s">
        <v>255</v>
      </c>
      <c r="C30" s="182" t="s">
        <v>138</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0"/>
        <v>0</v>
      </c>
      <c r="G30" s="183"/>
      <c r="H30" s="183">
        <f t="shared" si="1"/>
        <v>0</v>
      </c>
      <c r="I30" s="183"/>
      <c r="J30" s="183">
        <f t="shared" si="2"/>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5"/>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6"/>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7"/>
        <v>0</v>
      </c>
      <c r="AR30" s="183">
        <f t="shared" si="8"/>
        <v>0</v>
      </c>
    </row>
    <row r="31" spans="2:44" x14ac:dyDescent="0.25">
      <c r="B31" s="181" t="s">
        <v>519</v>
      </c>
      <c r="C31" s="182" t="s">
        <v>518</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0"/>
        <v>0</v>
      </c>
      <c r="G31" s="183"/>
      <c r="H31" s="183">
        <f t="shared" si="1"/>
        <v>0</v>
      </c>
      <c r="I31" s="183"/>
      <c r="J31" s="183">
        <f t="shared" si="2"/>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4"/>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5"/>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6"/>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7"/>
        <v>0</v>
      </c>
      <c r="AR31" s="183">
        <f t="shared" si="8"/>
        <v>0</v>
      </c>
    </row>
    <row r="32" spans="2:44" x14ac:dyDescent="0.25">
      <c r="B32" s="181" t="s">
        <v>256</v>
      </c>
      <c r="C32" s="182" t="s">
        <v>139</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0"/>
        <v>0</v>
      </c>
      <c r="G32" s="183"/>
      <c r="H32" s="183">
        <f t="shared" si="1"/>
        <v>0</v>
      </c>
      <c r="I32" s="183"/>
      <c r="J32" s="183">
        <f t="shared" si="2"/>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4"/>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5"/>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6"/>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7"/>
        <v>0</v>
      </c>
      <c r="AR32" s="183">
        <f t="shared" si="8"/>
        <v>0</v>
      </c>
    </row>
    <row r="33" spans="2:44" x14ac:dyDescent="0.25">
      <c r="B33" s="181" t="s">
        <v>520</v>
      </c>
      <c r="C33" s="182" t="s">
        <v>522</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si="0"/>
        <v>0</v>
      </c>
      <c r="G33" s="183"/>
      <c r="H33" s="183">
        <f t="shared" si="1"/>
        <v>0</v>
      </c>
      <c r="I33" s="183"/>
      <c r="J33" s="183">
        <f t="shared" si="2"/>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si="4"/>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si="5"/>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si="6"/>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si="7"/>
        <v>0</v>
      </c>
      <c r="AR33" s="183">
        <f t="shared" si="8"/>
        <v>0</v>
      </c>
    </row>
    <row r="34" spans="2:44" x14ac:dyDescent="0.25">
      <c r="B34" s="181" t="s">
        <v>521</v>
      </c>
      <c r="C34" s="182" t="s">
        <v>523</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0"/>
        <v>0</v>
      </c>
      <c r="G34" s="183"/>
      <c r="H34" s="183">
        <f t="shared" si="1"/>
        <v>0</v>
      </c>
      <c r="I34" s="183"/>
      <c r="J34" s="183">
        <f t="shared" si="2"/>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6"/>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7"/>
        <v>0</v>
      </c>
      <c r="AR34" s="183">
        <f t="shared" si="8"/>
        <v>0</v>
      </c>
    </row>
    <row r="35" spans="2:44" x14ac:dyDescent="0.25">
      <c r="B35" s="181" t="s">
        <v>525</v>
      </c>
      <c r="C35" s="182" t="s">
        <v>524</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0"/>
        <v>0</v>
      </c>
      <c r="G35" s="183"/>
      <c r="H35" s="183">
        <f t="shared" si="1"/>
        <v>0</v>
      </c>
      <c r="I35" s="183"/>
      <c r="J35" s="183">
        <f t="shared" si="2"/>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4"/>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5"/>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6"/>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7"/>
        <v>0</v>
      </c>
      <c r="AR35" s="183">
        <f t="shared" si="8"/>
        <v>0</v>
      </c>
    </row>
    <row r="36" spans="2:44" x14ac:dyDescent="0.25">
      <c r="B36" s="181" t="s">
        <v>272</v>
      </c>
      <c r="C36" s="182" t="s">
        <v>156</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si="0"/>
        <v>0</v>
      </c>
      <c r="G36" s="183"/>
      <c r="H36" s="183">
        <f t="shared" si="1"/>
        <v>0</v>
      </c>
      <c r="I36" s="183"/>
      <c r="J36" s="183">
        <f t="shared" si="2"/>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si="4"/>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si="5"/>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si="6"/>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si="7"/>
        <v>0</v>
      </c>
      <c r="AR36" s="183">
        <f t="shared" si="8"/>
        <v>0</v>
      </c>
    </row>
    <row r="37" spans="2:44" x14ac:dyDescent="0.25">
      <c r="B37" s="181" t="s">
        <v>526</v>
      </c>
      <c r="C37" s="182" t="s">
        <v>527</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si="0"/>
        <v>0</v>
      </c>
      <c r="G37" s="183"/>
      <c r="H37" s="183">
        <f t="shared" si="1"/>
        <v>0</v>
      </c>
      <c r="I37" s="183"/>
      <c r="J37" s="183">
        <f t="shared" si="2"/>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si="4"/>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si="5"/>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si="6"/>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si="7"/>
        <v>0</v>
      </c>
      <c r="AR37" s="183">
        <f t="shared" si="8"/>
        <v>0</v>
      </c>
    </row>
    <row r="38" spans="2:44" x14ac:dyDescent="0.25">
      <c r="B38" s="181" t="s">
        <v>528</v>
      </c>
      <c r="C38" s="182" t="s">
        <v>529</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0"/>
        <v>0</v>
      </c>
      <c r="G38" s="183"/>
      <c r="H38" s="183">
        <f t="shared" si="1"/>
        <v>0</v>
      </c>
      <c r="I38" s="183"/>
      <c r="J38" s="183">
        <f t="shared" si="2"/>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4"/>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6"/>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7"/>
        <v>0</v>
      </c>
      <c r="AR38" s="183">
        <f t="shared" si="8"/>
        <v>0</v>
      </c>
    </row>
    <row r="39" spans="2:44" x14ac:dyDescent="0.25">
      <c r="B39" s="181" t="s">
        <v>530</v>
      </c>
      <c r="C39" s="182" t="s">
        <v>531</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si="0"/>
        <v>0</v>
      </c>
      <c r="G39" s="183"/>
      <c r="H39" s="183">
        <f t="shared" si="1"/>
        <v>0</v>
      </c>
      <c r="I39" s="183"/>
      <c r="J39" s="183">
        <f t="shared" si="2"/>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si="4"/>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si="5"/>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si="6"/>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si="7"/>
        <v>0</v>
      </c>
      <c r="AR39" s="183">
        <f t="shared" si="8"/>
        <v>0</v>
      </c>
    </row>
    <row r="40" spans="2:44" x14ac:dyDescent="0.25">
      <c r="B40" s="181" t="s">
        <v>273</v>
      </c>
      <c r="C40" s="182" t="s">
        <v>157</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si="0"/>
        <v>0</v>
      </c>
      <c r="G40" s="183"/>
      <c r="H40" s="183">
        <f t="shared" si="1"/>
        <v>0</v>
      </c>
      <c r="I40" s="183"/>
      <c r="J40" s="183">
        <f t="shared" si="2"/>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si="4"/>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si="5"/>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si="6"/>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si="7"/>
        <v>0</v>
      </c>
      <c r="AR40" s="183">
        <f t="shared" si="8"/>
        <v>0</v>
      </c>
    </row>
    <row r="41" spans="2:44" x14ac:dyDescent="0.25">
      <c r="B41" s="181" t="s">
        <v>532</v>
      </c>
      <c r="C41" s="182" t="s">
        <v>533</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0"/>
        <v>0</v>
      </c>
      <c r="G41" s="183"/>
      <c r="H41" s="183">
        <f t="shared" si="1"/>
        <v>0</v>
      </c>
      <c r="I41" s="183"/>
      <c r="J41" s="183">
        <f t="shared" si="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4"/>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5"/>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6"/>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
        <v>0</v>
      </c>
      <c r="AR41" s="183">
        <f t="shared" si="8"/>
        <v>0</v>
      </c>
    </row>
    <row r="42" spans="2:44" x14ac:dyDescent="0.25">
      <c r="B42" s="181" t="s">
        <v>534</v>
      </c>
      <c r="C42" s="182" t="s">
        <v>535</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si="0"/>
        <v>0</v>
      </c>
      <c r="G42" s="183"/>
      <c r="H42" s="183">
        <f t="shared" si="1"/>
        <v>0</v>
      </c>
      <c r="I42" s="183"/>
      <c r="J42" s="183">
        <f t="shared" si="2"/>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si="4"/>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si="5"/>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si="6"/>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si="7"/>
        <v>0</v>
      </c>
      <c r="AR42" s="183">
        <f t="shared" si="8"/>
        <v>0</v>
      </c>
    </row>
    <row r="43" spans="2:44" x14ac:dyDescent="0.25">
      <c r="B43" s="181" t="s">
        <v>536</v>
      </c>
      <c r="C43" s="182" t="s">
        <v>537</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0"/>
        <v>0</v>
      </c>
      <c r="G43" s="183"/>
      <c r="H43" s="183">
        <f t="shared" si="1"/>
        <v>0</v>
      </c>
      <c r="I43" s="183"/>
      <c r="J43" s="183">
        <f t="shared" si="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4"/>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5"/>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6"/>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
        <v>0</v>
      </c>
      <c r="AR43" s="183">
        <f t="shared" si="8"/>
        <v>0</v>
      </c>
    </row>
    <row r="44" spans="2:44" x14ac:dyDescent="0.25">
      <c r="B44" s="181" t="s">
        <v>538</v>
      </c>
      <c r="C44" s="182" t="s">
        <v>539</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0"/>
        <v>0</v>
      </c>
      <c r="G44" s="183"/>
      <c r="H44" s="183">
        <f t="shared" si="1"/>
        <v>0</v>
      </c>
      <c r="I44" s="183"/>
      <c r="J44" s="183">
        <f t="shared" si="2"/>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4"/>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6"/>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7"/>
        <v>0</v>
      </c>
      <c r="AR44" s="183">
        <f t="shared" si="8"/>
        <v>0</v>
      </c>
    </row>
    <row r="45" spans="2:44" x14ac:dyDescent="0.25">
      <c r="B45" s="181" t="s">
        <v>248</v>
      </c>
      <c r="C45" s="182" t="s">
        <v>140</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si="0"/>
        <v>0</v>
      </c>
      <c r="G45" s="183"/>
      <c r="H45" s="183">
        <f t="shared" si="1"/>
        <v>0</v>
      </c>
      <c r="I45" s="183"/>
      <c r="J45" s="183">
        <f t="shared" si="2"/>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si="4"/>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si="5"/>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si="6"/>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si="7"/>
        <v>0</v>
      </c>
      <c r="AR45" s="183">
        <f t="shared" si="8"/>
        <v>0</v>
      </c>
    </row>
    <row r="46" spans="2:44" x14ac:dyDescent="0.25">
      <c r="B46" s="181" t="s">
        <v>540</v>
      </c>
      <c r="C46" s="182" t="s">
        <v>541</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0"/>
        <v>0</v>
      </c>
      <c r="G46" s="183"/>
      <c r="H46" s="183">
        <f t="shared" si="1"/>
        <v>0</v>
      </c>
      <c r="I46" s="183"/>
      <c r="J46" s="183">
        <f t="shared" si="2"/>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4"/>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5"/>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6"/>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7"/>
        <v>0</v>
      </c>
      <c r="AR46" s="183">
        <f t="shared" si="8"/>
        <v>0</v>
      </c>
    </row>
    <row r="47" spans="2:44" x14ac:dyDescent="0.25">
      <c r="B47" s="190" t="s">
        <v>257</v>
      </c>
      <c r="C47" s="191" t="s">
        <v>141</v>
      </c>
      <c r="D47" s="192">
        <f>SUM(D48:D82)</f>
        <v>0</v>
      </c>
      <c r="E47" s="192">
        <f>SUM(E48:E82)</f>
        <v>0</v>
      </c>
      <c r="F47" s="192">
        <f t="shared" si="0"/>
        <v>0</v>
      </c>
      <c r="G47" s="192">
        <f>SUM(G48:G82)</f>
        <v>0</v>
      </c>
      <c r="H47" s="192">
        <f t="shared" si="1"/>
        <v>0</v>
      </c>
      <c r="I47" s="192">
        <f t="shared" ref="I47:AD47" si="10">SUM(I48:I82)</f>
        <v>0</v>
      </c>
      <c r="J47" s="192">
        <f t="shared" si="10"/>
        <v>0</v>
      </c>
      <c r="K47" s="192">
        <f t="shared" si="10"/>
        <v>0</v>
      </c>
      <c r="L47" s="192">
        <f t="shared" si="10"/>
        <v>0</v>
      </c>
      <c r="M47" s="192">
        <f t="shared" si="10"/>
        <v>0</v>
      </c>
      <c r="N47" s="192">
        <f t="shared" si="10"/>
        <v>0</v>
      </c>
      <c r="O47" s="192">
        <f t="shared" si="10"/>
        <v>0</v>
      </c>
      <c r="P47" s="192">
        <f t="shared" si="10"/>
        <v>0</v>
      </c>
      <c r="Q47" s="192">
        <f t="shared" si="10"/>
        <v>0</v>
      </c>
      <c r="R47" s="192">
        <f t="shared" si="10"/>
        <v>0</v>
      </c>
      <c r="S47" s="192">
        <f t="shared" si="10"/>
        <v>0</v>
      </c>
      <c r="T47" s="192">
        <f>SUM(T48:T82)</f>
        <v>0</v>
      </c>
      <c r="U47" s="192">
        <f t="shared" si="10"/>
        <v>0</v>
      </c>
      <c r="V47" s="192">
        <f t="shared" si="10"/>
        <v>0</v>
      </c>
      <c r="W47" s="192">
        <f t="shared" si="10"/>
        <v>0</v>
      </c>
      <c r="X47" s="192">
        <f t="shared" si="10"/>
        <v>0</v>
      </c>
      <c r="Y47" s="192">
        <f>SUM(Y48:Y82)</f>
        <v>0</v>
      </c>
      <c r="Z47" s="192">
        <f>SUM(Z48:Z82)</f>
        <v>0</v>
      </c>
      <c r="AA47" s="192">
        <f t="shared" si="10"/>
        <v>0</v>
      </c>
      <c r="AB47" s="192">
        <f t="shared" si="10"/>
        <v>0</v>
      </c>
      <c r="AC47" s="192">
        <f t="shared" si="10"/>
        <v>0</v>
      </c>
      <c r="AD47" s="192">
        <f t="shared" si="10"/>
        <v>0</v>
      </c>
      <c r="AE47" s="192">
        <f t="shared" si="4"/>
        <v>0</v>
      </c>
      <c r="AF47" s="192">
        <f>SUM(AF48:AF82)</f>
        <v>0</v>
      </c>
      <c r="AG47" s="192">
        <f>SUM(AG48:AG82)</f>
        <v>0</v>
      </c>
      <c r="AH47" s="192">
        <f>SUM(AH48:AH82)</f>
        <v>0</v>
      </c>
      <c r="AI47" s="192">
        <f t="shared" si="5"/>
        <v>0</v>
      </c>
      <c r="AJ47" s="192">
        <f>SUM(AJ48:AJ82)</f>
        <v>0</v>
      </c>
      <c r="AK47" s="192">
        <f>SUM(AK48:AK82)</f>
        <v>0</v>
      </c>
      <c r="AL47" s="192">
        <f>SUM(AL48:AL82)</f>
        <v>0</v>
      </c>
      <c r="AM47" s="192">
        <f t="shared" si="6"/>
        <v>0</v>
      </c>
      <c r="AN47" s="192">
        <f>SUM(AN48:AN82)</f>
        <v>0</v>
      </c>
      <c r="AO47" s="192">
        <f>SUM(AO48:AO82)</f>
        <v>0</v>
      </c>
      <c r="AP47" s="192">
        <f>SUM(AP48:AP82)</f>
        <v>0</v>
      </c>
      <c r="AQ47" s="192">
        <f t="shared" si="7"/>
        <v>0</v>
      </c>
      <c r="AR47" s="192">
        <f t="shared" si="8"/>
        <v>0</v>
      </c>
    </row>
    <row r="48" spans="2:44" x14ac:dyDescent="0.25">
      <c r="B48" s="181" t="s">
        <v>542</v>
      </c>
      <c r="C48" s="182" t="s">
        <v>543</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si="0"/>
        <v>0</v>
      </c>
      <c r="G48" s="183"/>
      <c r="H48" s="183">
        <f t="shared" si="1"/>
        <v>0</v>
      </c>
      <c r="I48" s="183"/>
      <c r="J48" s="183">
        <f>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si="4"/>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si="5"/>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si="6"/>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si="7"/>
        <v>0</v>
      </c>
      <c r="AR48" s="183">
        <f t="shared" si="8"/>
        <v>0</v>
      </c>
    </row>
    <row r="49" spans="2:44" x14ac:dyDescent="0.25">
      <c r="B49" s="181" t="s">
        <v>258</v>
      </c>
      <c r="C49" s="182" t="s">
        <v>142</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1"/>
        <v>0</v>
      </c>
      <c r="I49" s="183"/>
      <c r="J49" s="183">
        <f>F49-I49</f>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4"/>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5"/>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6"/>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7"/>
        <v>0</v>
      </c>
      <c r="AR49" s="183">
        <f t="shared" si="8"/>
        <v>0</v>
      </c>
    </row>
    <row r="50" spans="2:44" x14ac:dyDescent="0.25">
      <c r="B50" s="181" t="s">
        <v>544</v>
      </c>
      <c r="C50" s="182" t="s">
        <v>545</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1"/>
        <v>0</v>
      </c>
      <c r="I50" s="183"/>
      <c r="J50" s="183">
        <f>F50-I50</f>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4"/>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5"/>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6"/>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7"/>
        <v>0</v>
      </c>
      <c r="AR50" s="183">
        <f t="shared" si="8"/>
        <v>0</v>
      </c>
    </row>
    <row r="51" spans="2:44" x14ac:dyDescent="0.25">
      <c r="B51" s="181" t="s">
        <v>546</v>
      </c>
      <c r="C51" s="182" t="s">
        <v>547</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D51+E51</f>
        <v>0</v>
      </c>
      <c r="G51" s="183"/>
      <c r="H51" s="183">
        <f t="shared" ref="H51:H69" si="12">F51-G51</f>
        <v>0</v>
      </c>
      <c r="I51" s="183"/>
      <c r="J51" s="183">
        <f t="shared" ref="J51:J69" si="13">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4">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5">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6">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7">AN51+AO51+AP51</f>
        <v>0</v>
      </c>
      <c r="AR51" s="183">
        <f t="shared" ref="AR51:AR69" si="18">AE51+AI51+AM51+AQ51</f>
        <v>0</v>
      </c>
    </row>
    <row r="52" spans="2:44" x14ac:dyDescent="0.25">
      <c r="B52" s="181" t="s">
        <v>259</v>
      </c>
      <c r="C52" s="182" t="s">
        <v>143</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
        <v>0</v>
      </c>
      <c r="G52" s="183"/>
      <c r="H52" s="183">
        <f t="shared" si="12"/>
        <v>0</v>
      </c>
      <c r="I52" s="183"/>
      <c r="J52" s="183">
        <f t="shared" si="13"/>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4"/>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5"/>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6"/>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7"/>
        <v>0</v>
      </c>
      <c r="AR52" s="183">
        <f t="shared" si="18"/>
        <v>0</v>
      </c>
    </row>
    <row r="53" spans="2:44" x14ac:dyDescent="0.25">
      <c r="B53" s="181" t="s">
        <v>548</v>
      </c>
      <c r="C53" s="182" t="s">
        <v>549</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D53+E53</f>
        <v>0</v>
      </c>
      <c r="G53" s="183"/>
      <c r="H53" s="183">
        <f>F53-G53</f>
        <v>0</v>
      </c>
      <c r="I53" s="183"/>
      <c r="J53" s="183">
        <f>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AN53+AO53+AP53</f>
        <v>0</v>
      </c>
      <c r="AR53" s="183">
        <f>AE53+AI53+AM53+AQ53</f>
        <v>0</v>
      </c>
    </row>
    <row r="54" spans="2:44" x14ac:dyDescent="0.25">
      <c r="B54" s="181" t="s">
        <v>550</v>
      </c>
      <c r="C54" s="182" t="s">
        <v>516</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
        <v>0</v>
      </c>
      <c r="G54" s="183"/>
      <c r="H54" s="183">
        <f t="shared" si="12"/>
        <v>0</v>
      </c>
      <c r="I54" s="183"/>
      <c r="J54" s="183">
        <f t="shared" si="13"/>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4"/>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5"/>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6"/>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7"/>
        <v>0</v>
      </c>
      <c r="AR54" s="183">
        <f t="shared" si="18"/>
        <v>0</v>
      </c>
    </row>
    <row r="55" spans="2:44" x14ac:dyDescent="0.25">
      <c r="B55" s="181" t="s">
        <v>260</v>
      </c>
      <c r="C55" s="182" t="s">
        <v>144</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D55+E55</f>
        <v>0</v>
      </c>
      <c r="G55" s="183"/>
      <c r="H55" s="183">
        <f>F55-G55</f>
        <v>0</v>
      </c>
      <c r="I55" s="183"/>
      <c r="J55" s="183">
        <f>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AN55+AO55+AP55</f>
        <v>0</v>
      </c>
      <c r="AR55" s="183">
        <f>AE55+AI55+AM55+AQ55</f>
        <v>0</v>
      </c>
    </row>
    <row r="56" spans="2:44" x14ac:dyDescent="0.25">
      <c r="B56" s="181" t="s">
        <v>551</v>
      </c>
      <c r="C56" s="182" t="s">
        <v>552</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
        <v>0</v>
      </c>
      <c r="G56" s="183"/>
      <c r="H56" s="183">
        <f t="shared" si="12"/>
        <v>0</v>
      </c>
      <c r="I56" s="183"/>
      <c r="J56" s="183">
        <f t="shared" si="13"/>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4"/>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5"/>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6"/>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7"/>
        <v>0</v>
      </c>
      <c r="AR56" s="183">
        <f t="shared" si="18"/>
        <v>0</v>
      </c>
    </row>
    <row r="57" spans="2:44" x14ac:dyDescent="0.25">
      <c r="B57" s="181" t="s">
        <v>553</v>
      </c>
      <c r="C57" s="182" t="s">
        <v>523</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D57+E57</f>
        <v>0</v>
      </c>
      <c r="G57" s="183"/>
      <c r="H57" s="183">
        <f>F57-G57</f>
        <v>0</v>
      </c>
      <c r="I57" s="183"/>
      <c r="J57" s="183">
        <f>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AN57+AO57+AP57</f>
        <v>0</v>
      </c>
      <c r="AR57" s="183">
        <f>AE57+AI57+AM57+AQ57</f>
        <v>0</v>
      </c>
    </row>
    <row r="58" spans="2:44" x14ac:dyDescent="0.25">
      <c r="B58" s="181" t="s">
        <v>554</v>
      </c>
      <c r="C58" s="182" t="s">
        <v>524</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
        <v>0</v>
      </c>
      <c r="G58" s="183"/>
      <c r="H58" s="183">
        <f t="shared" si="12"/>
        <v>0</v>
      </c>
      <c r="I58" s="183"/>
      <c r="J58" s="183">
        <f t="shared" si="13"/>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4"/>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5"/>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6"/>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7"/>
        <v>0</v>
      </c>
      <c r="AR58" s="183">
        <f t="shared" si="18"/>
        <v>0</v>
      </c>
    </row>
    <row r="59" spans="2:44" x14ac:dyDescent="0.25">
      <c r="B59" s="181" t="s">
        <v>555</v>
      </c>
      <c r="C59" s="182" t="s">
        <v>556</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D59+E59</f>
        <v>0</v>
      </c>
      <c r="G59" s="183"/>
      <c r="H59" s="183">
        <f>F59-G59</f>
        <v>0</v>
      </c>
      <c r="I59" s="183"/>
      <c r="J59" s="183">
        <f>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AN59+AO59+AP59</f>
        <v>0</v>
      </c>
      <c r="AR59" s="183">
        <f>AE59+AI59+AM59+AQ59</f>
        <v>0</v>
      </c>
    </row>
    <row r="60" spans="2:44" x14ac:dyDescent="0.25">
      <c r="B60" s="181" t="s">
        <v>557</v>
      </c>
      <c r="C60" s="182" t="s">
        <v>558</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
        <v>0</v>
      </c>
      <c r="G60" s="183"/>
      <c r="H60" s="183">
        <f t="shared" si="12"/>
        <v>0</v>
      </c>
      <c r="I60" s="183"/>
      <c r="J60" s="183">
        <f t="shared" si="13"/>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4"/>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5"/>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6"/>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7"/>
        <v>0</v>
      </c>
      <c r="AR60" s="183">
        <f t="shared" si="18"/>
        <v>0</v>
      </c>
    </row>
    <row r="61" spans="2:44" x14ac:dyDescent="0.25">
      <c r="B61" s="181" t="s">
        <v>559</v>
      </c>
      <c r="C61" s="182" t="s">
        <v>531</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D61+E61</f>
        <v>0</v>
      </c>
      <c r="G61" s="183"/>
      <c r="H61" s="183">
        <f>F61-G61</f>
        <v>0</v>
      </c>
      <c r="I61" s="183"/>
      <c r="J61" s="183">
        <f>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AN61+AO61+AP61</f>
        <v>0</v>
      </c>
      <c r="AR61" s="183">
        <f>AE61+AI61+AM61+AQ61</f>
        <v>0</v>
      </c>
    </row>
    <row r="62" spans="2:44" x14ac:dyDescent="0.25">
      <c r="B62" s="181" t="s">
        <v>560</v>
      </c>
      <c r="C62" s="182" t="s">
        <v>561</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
        <v>0</v>
      </c>
      <c r="G62" s="183"/>
      <c r="H62" s="183">
        <f t="shared" si="12"/>
        <v>0</v>
      </c>
      <c r="I62" s="183"/>
      <c r="J62" s="183">
        <f t="shared" si="13"/>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4"/>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5"/>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6"/>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7"/>
        <v>0</v>
      </c>
      <c r="AR62" s="183">
        <f t="shared" si="18"/>
        <v>0</v>
      </c>
    </row>
    <row r="63" spans="2:44" x14ac:dyDescent="0.25">
      <c r="B63" s="181" t="s">
        <v>261</v>
      </c>
      <c r="C63" s="182" t="s">
        <v>145</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
        <v>0</v>
      </c>
      <c r="G63" s="183"/>
      <c r="H63" s="183">
        <f t="shared" si="12"/>
        <v>0</v>
      </c>
      <c r="I63" s="183"/>
      <c r="J63" s="183">
        <f t="shared" si="13"/>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4"/>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5"/>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6"/>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7"/>
        <v>0</v>
      </c>
      <c r="AR63" s="183">
        <f t="shared" si="18"/>
        <v>0</v>
      </c>
    </row>
    <row r="64" spans="2:44" x14ac:dyDescent="0.25">
      <c r="B64" s="181" t="s">
        <v>562</v>
      </c>
      <c r="C64" s="182" t="s">
        <v>563</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D64+E64</f>
        <v>0</v>
      </c>
      <c r="G64" s="183"/>
      <c r="H64" s="183">
        <f>F64-G64</f>
        <v>0</v>
      </c>
      <c r="I64" s="183"/>
      <c r="J64" s="183">
        <f>F64-I64</f>
        <v>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AB64+AC64+AD64</f>
        <v>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AN64+AO64+AP64</f>
        <v>0</v>
      </c>
      <c r="AR64" s="183">
        <f>AE64+AI64+AM64+AQ64</f>
        <v>0</v>
      </c>
    </row>
    <row r="65" spans="2:44" x14ac:dyDescent="0.25">
      <c r="B65" s="181" t="s">
        <v>564</v>
      </c>
      <c r="C65" s="182" t="s">
        <v>565</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
        <v>0</v>
      </c>
      <c r="G65" s="183"/>
      <c r="H65" s="183">
        <f t="shared" si="12"/>
        <v>0</v>
      </c>
      <c r="I65" s="183"/>
      <c r="J65" s="183">
        <f t="shared" si="13"/>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4"/>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5"/>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6"/>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7"/>
        <v>0</v>
      </c>
      <c r="AR65" s="183">
        <f t="shared" si="18"/>
        <v>0</v>
      </c>
    </row>
    <row r="66" spans="2:44" x14ac:dyDescent="0.25">
      <c r="B66" s="181" t="s">
        <v>566</v>
      </c>
      <c r="C66" s="182" t="s">
        <v>567</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D66+E66</f>
        <v>0</v>
      </c>
      <c r="G66" s="183"/>
      <c r="H66" s="183">
        <f>F66-G66</f>
        <v>0</v>
      </c>
      <c r="I66" s="183"/>
      <c r="J66" s="183">
        <f>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AN66+AO66+AP66</f>
        <v>0</v>
      </c>
      <c r="AR66" s="183">
        <f>AE66+AI66+AM66+AQ66</f>
        <v>0</v>
      </c>
    </row>
    <row r="67" spans="2:44" x14ac:dyDescent="0.25">
      <c r="B67" s="181" t="s">
        <v>568</v>
      </c>
      <c r="C67" s="182" t="s">
        <v>569</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
        <v>0</v>
      </c>
      <c r="G67" s="183"/>
      <c r="H67" s="183">
        <f t="shared" si="12"/>
        <v>0</v>
      </c>
      <c r="I67" s="183"/>
      <c r="J67" s="183">
        <f t="shared" si="13"/>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4"/>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5"/>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6"/>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7"/>
        <v>0</v>
      </c>
      <c r="AR67" s="183">
        <f t="shared" si="18"/>
        <v>0</v>
      </c>
    </row>
    <row r="68" spans="2:44" x14ac:dyDescent="0.25">
      <c r="B68" s="181" t="s">
        <v>570</v>
      </c>
      <c r="C68" s="182" t="s">
        <v>571</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D68+E68</f>
        <v>0</v>
      </c>
      <c r="G68" s="183"/>
      <c r="H68" s="183">
        <f>F68-G68</f>
        <v>0</v>
      </c>
      <c r="I68" s="183"/>
      <c r="J68" s="183">
        <f>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AN68+AO68+AP68</f>
        <v>0</v>
      </c>
      <c r="AR68" s="183">
        <f>AE68+AI68+AM68+AQ68</f>
        <v>0</v>
      </c>
    </row>
    <row r="69" spans="2:44" x14ac:dyDescent="0.25">
      <c r="B69" s="181" t="s">
        <v>572</v>
      </c>
      <c r="C69" s="182" t="s">
        <v>573</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
        <v>0</v>
      </c>
      <c r="G69" s="183"/>
      <c r="H69" s="183">
        <f t="shared" si="12"/>
        <v>0</v>
      </c>
      <c r="I69" s="183"/>
      <c r="J69" s="183">
        <f t="shared" si="13"/>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4"/>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5"/>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6"/>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7"/>
        <v>0</v>
      </c>
      <c r="AR69" s="183">
        <f t="shared" si="18"/>
        <v>0</v>
      </c>
    </row>
    <row r="70" spans="2:44" x14ac:dyDescent="0.25">
      <c r="B70" s="181" t="s">
        <v>574</v>
      </c>
      <c r="C70" s="182" t="s">
        <v>575</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D70+E70</f>
        <v>0</v>
      </c>
      <c r="G70" s="183"/>
      <c r="H70" s="183">
        <f>F70-G70</f>
        <v>0</v>
      </c>
      <c r="I70" s="183"/>
      <c r="J70" s="183">
        <f>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AN70+AO70+AP70</f>
        <v>0</v>
      </c>
      <c r="AR70" s="183">
        <f>AE70+AI70+AM70+AQ70</f>
        <v>0</v>
      </c>
    </row>
    <row r="71" spans="2:44" x14ac:dyDescent="0.25">
      <c r="B71" s="181" t="s">
        <v>576</v>
      </c>
      <c r="C71" s="182" t="s">
        <v>577</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D71+E71</f>
        <v>0</v>
      </c>
      <c r="G71" s="183"/>
      <c r="H71" s="183">
        <f t="shared" ref="H71:H82" si="20">F71-G71</f>
        <v>0</v>
      </c>
      <c r="I71" s="183"/>
      <c r="J71" s="183">
        <f t="shared" ref="J71:J82" si="21">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22">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23">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24">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25">AN71+AO71+AP71</f>
        <v>0</v>
      </c>
      <c r="AR71" s="183">
        <f t="shared" ref="AR71:AR82" si="26">AE71+AI71+AM71+AQ71</f>
        <v>0</v>
      </c>
    </row>
    <row r="72" spans="2:44" x14ac:dyDescent="0.25">
      <c r="B72" s="181" t="s">
        <v>274</v>
      </c>
      <c r="C72" s="182" t="s">
        <v>158</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
        <v>0</v>
      </c>
      <c r="G72" s="183"/>
      <c r="H72" s="183">
        <f t="shared" si="20"/>
        <v>0</v>
      </c>
      <c r="I72" s="183"/>
      <c r="J72" s="183">
        <f t="shared" si="21"/>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22"/>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23"/>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24"/>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25"/>
        <v>0</v>
      </c>
      <c r="AR72" s="183">
        <f t="shared" si="26"/>
        <v>0</v>
      </c>
    </row>
    <row r="73" spans="2:44" x14ac:dyDescent="0.25">
      <c r="B73" s="181" t="s">
        <v>578</v>
      </c>
      <c r="C73" s="182" t="s">
        <v>579</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
        <v>0</v>
      </c>
      <c r="G73" s="183"/>
      <c r="H73" s="183">
        <f t="shared" si="20"/>
        <v>0</v>
      </c>
      <c r="I73" s="183"/>
      <c r="J73" s="183">
        <f t="shared" si="21"/>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22"/>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23"/>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24"/>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25"/>
        <v>0</v>
      </c>
      <c r="AR73" s="183">
        <f t="shared" si="26"/>
        <v>0</v>
      </c>
    </row>
    <row r="74" spans="2:44" x14ac:dyDescent="0.25">
      <c r="B74" s="181" t="s">
        <v>580</v>
      </c>
      <c r="C74" s="182" t="s">
        <v>581</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
        <v>0</v>
      </c>
      <c r="G74" s="183"/>
      <c r="H74" s="183">
        <f t="shared" si="20"/>
        <v>0</v>
      </c>
      <c r="I74" s="183"/>
      <c r="J74" s="183">
        <f t="shared" si="21"/>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22"/>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23"/>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24"/>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25"/>
        <v>0</v>
      </c>
      <c r="AR74" s="183">
        <f t="shared" si="26"/>
        <v>0</v>
      </c>
    </row>
    <row r="75" spans="2:44" x14ac:dyDescent="0.25">
      <c r="B75" s="181" t="s">
        <v>582</v>
      </c>
      <c r="C75" s="182" t="s">
        <v>583</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
        <v>0</v>
      </c>
      <c r="G75" s="183"/>
      <c r="H75" s="183">
        <f t="shared" si="20"/>
        <v>0</v>
      </c>
      <c r="I75" s="183"/>
      <c r="J75" s="183">
        <f t="shared" si="21"/>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22"/>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23"/>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24"/>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25"/>
        <v>0</v>
      </c>
      <c r="AR75" s="183">
        <f t="shared" si="26"/>
        <v>0</v>
      </c>
    </row>
    <row r="76" spans="2:44" x14ac:dyDescent="0.25">
      <c r="B76" s="181" t="s">
        <v>584</v>
      </c>
      <c r="C76" s="182" t="s">
        <v>585</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
        <v>0</v>
      </c>
      <c r="G76" s="183"/>
      <c r="H76" s="183">
        <f t="shared" si="20"/>
        <v>0</v>
      </c>
      <c r="I76" s="183"/>
      <c r="J76" s="183">
        <f t="shared" si="21"/>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22"/>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23"/>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24"/>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25"/>
        <v>0</v>
      </c>
      <c r="AR76" s="183">
        <f t="shared" si="26"/>
        <v>0</v>
      </c>
    </row>
    <row r="77" spans="2:44" x14ac:dyDescent="0.25">
      <c r="B77" s="181" t="s">
        <v>586</v>
      </c>
      <c r="C77" s="182" t="s">
        <v>587</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
        <v>0</v>
      </c>
      <c r="G77" s="183"/>
      <c r="H77" s="183">
        <f t="shared" si="20"/>
        <v>0</v>
      </c>
      <c r="I77" s="183"/>
      <c r="J77" s="183">
        <f t="shared" si="21"/>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22"/>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23"/>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24"/>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25"/>
        <v>0</v>
      </c>
      <c r="AR77" s="183">
        <f t="shared" si="26"/>
        <v>0</v>
      </c>
    </row>
    <row r="78" spans="2:44" x14ac:dyDescent="0.25">
      <c r="B78" s="181" t="s">
        <v>588</v>
      </c>
      <c r="C78" s="182" t="s">
        <v>589</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
        <v>0</v>
      </c>
      <c r="G78" s="183"/>
      <c r="H78" s="183">
        <f t="shared" si="20"/>
        <v>0</v>
      </c>
      <c r="I78" s="183"/>
      <c r="J78" s="183">
        <f t="shared" si="21"/>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22"/>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23"/>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24"/>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25"/>
        <v>0</v>
      </c>
      <c r="AR78" s="183">
        <f t="shared" si="26"/>
        <v>0</v>
      </c>
    </row>
    <row r="79" spans="2:44" x14ac:dyDescent="0.25">
      <c r="B79" s="181" t="s">
        <v>590</v>
      </c>
      <c r="C79" s="182" t="s">
        <v>591</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
        <v>0</v>
      </c>
      <c r="G79" s="183"/>
      <c r="H79" s="183">
        <f t="shared" si="20"/>
        <v>0</v>
      </c>
      <c r="I79" s="183"/>
      <c r="J79" s="183">
        <f t="shared" si="21"/>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22"/>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23"/>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24"/>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25"/>
        <v>0</v>
      </c>
      <c r="AR79" s="183">
        <f t="shared" si="26"/>
        <v>0</v>
      </c>
    </row>
    <row r="80" spans="2:44" x14ac:dyDescent="0.25">
      <c r="B80" s="181" t="s">
        <v>592</v>
      </c>
      <c r="C80" s="182" t="s">
        <v>593</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
        <v>0</v>
      </c>
      <c r="G80" s="183"/>
      <c r="H80" s="183">
        <f t="shared" si="20"/>
        <v>0</v>
      </c>
      <c r="I80" s="183"/>
      <c r="J80" s="183">
        <f t="shared" si="21"/>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22"/>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23"/>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24"/>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25"/>
        <v>0</v>
      </c>
      <c r="AR80" s="183">
        <f t="shared" si="26"/>
        <v>0</v>
      </c>
    </row>
    <row r="81" spans="2:44" x14ac:dyDescent="0.25">
      <c r="B81" s="181" t="s">
        <v>594</v>
      </c>
      <c r="C81" s="182" t="s">
        <v>595</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
        <v>0</v>
      </c>
      <c r="G81" s="183"/>
      <c r="H81" s="183">
        <f t="shared" si="20"/>
        <v>0</v>
      </c>
      <c r="I81" s="183"/>
      <c r="J81" s="183">
        <f t="shared" si="21"/>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22"/>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23"/>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24"/>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25"/>
        <v>0</v>
      </c>
      <c r="AR81" s="183">
        <f t="shared" si="26"/>
        <v>0</v>
      </c>
    </row>
    <row r="82" spans="2:44" x14ac:dyDescent="0.25">
      <c r="B82" s="181" t="s">
        <v>596</v>
      </c>
      <c r="C82" s="182" t="s">
        <v>597</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
        <v>0</v>
      </c>
      <c r="G82" s="183"/>
      <c r="H82" s="183">
        <f t="shared" si="20"/>
        <v>0</v>
      </c>
      <c r="I82" s="183"/>
      <c r="J82" s="183">
        <f t="shared" si="21"/>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22"/>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23"/>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24"/>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25"/>
        <v>0</v>
      </c>
      <c r="AR82" s="183">
        <f t="shared" si="26"/>
        <v>0</v>
      </c>
    </row>
    <row r="83" spans="2:44" x14ac:dyDescent="0.25">
      <c r="B83" s="190" t="s">
        <v>262</v>
      </c>
      <c r="C83" s="191" t="s">
        <v>146</v>
      </c>
      <c r="D83" s="192">
        <f>SUM(D84:D88)</f>
        <v>0</v>
      </c>
      <c r="E83" s="192">
        <f>SUM(E84:E88)</f>
        <v>0</v>
      </c>
      <c r="F83" s="192">
        <f t="shared" ref="F83:F89" si="27">D83+E83</f>
        <v>0</v>
      </c>
      <c r="G83" s="192">
        <f>SUM(G84:G88)</f>
        <v>0</v>
      </c>
      <c r="H83" s="192">
        <f t="shared" ref="H83:H89" si="28">F83-G83</f>
        <v>0</v>
      </c>
      <c r="I83" s="192">
        <f>SUM(I84:I88)</f>
        <v>0</v>
      </c>
      <c r="J83" s="192">
        <f t="shared" ref="J83:J89" si="29">F83-I83</f>
        <v>0</v>
      </c>
      <c r="K83" s="192">
        <f t="shared" ref="K83:AD83" si="30">SUM(K84:K88)</f>
        <v>0</v>
      </c>
      <c r="L83" s="192">
        <f t="shared" si="30"/>
        <v>0</v>
      </c>
      <c r="M83" s="192">
        <f t="shared" si="30"/>
        <v>0</v>
      </c>
      <c r="N83" s="192">
        <f t="shared" si="30"/>
        <v>0</v>
      </c>
      <c r="O83" s="192">
        <f t="shared" si="30"/>
        <v>0</v>
      </c>
      <c r="P83" s="192">
        <f>SUM(P84:P88)</f>
        <v>0</v>
      </c>
      <c r="Q83" s="192">
        <f>SUM(Q84:Q88)</f>
        <v>0</v>
      </c>
      <c r="R83" s="192">
        <f t="shared" si="30"/>
        <v>0</v>
      </c>
      <c r="S83" s="192">
        <f t="shared" si="30"/>
        <v>0</v>
      </c>
      <c r="T83" s="192">
        <f>SUM(T84:T88)</f>
        <v>0</v>
      </c>
      <c r="U83" s="192">
        <f t="shared" si="30"/>
        <v>0</v>
      </c>
      <c r="V83" s="192">
        <f t="shared" si="30"/>
        <v>0</v>
      </c>
      <c r="W83" s="192">
        <f>SUM(W84:W88)</f>
        <v>0</v>
      </c>
      <c r="X83" s="192">
        <f t="shared" si="30"/>
        <v>0</v>
      </c>
      <c r="Y83" s="192">
        <f>SUM(Y84:Y88)</f>
        <v>0</v>
      </c>
      <c r="Z83" s="192">
        <f>SUM(Z84:Z88)</f>
        <v>0</v>
      </c>
      <c r="AA83" s="192">
        <f t="shared" si="30"/>
        <v>0</v>
      </c>
      <c r="AB83" s="192">
        <f t="shared" si="30"/>
        <v>0</v>
      </c>
      <c r="AC83" s="192">
        <f t="shared" si="30"/>
        <v>0</v>
      </c>
      <c r="AD83" s="192">
        <f t="shared" si="30"/>
        <v>0</v>
      </c>
      <c r="AE83" s="192">
        <f t="shared" ref="AE83:AE89" si="31">AB83+AC83+AD83</f>
        <v>0</v>
      </c>
      <c r="AF83" s="192">
        <f>SUM(AF84:AF88)</f>
        <v>0</v>
      </c>
      <c r="AG83" s="192">
        <f>SUM(AG84:AG88)</f>
        <v>0</v>
      </c>
      <c r="AH83" s="192">
        <f>SUM(AH84:AH88)</f>
        <v>0</v>
      </c>
      <c r="AI83" s="192">
        <f t="shared" ref="AI83:AI89" si="32">AF83+AG83+AH83</f>
        <v>0</v>
      </c>
      <c r="AJ83" s="192">
        <f>SUM(AJ84:AJ88)</f>
        <v>0</v>
      </c>
      <c r="AK83" s="192">
        <f>SUM(AK84:AK88)</f>
        <v>0</v>
      </c>
      <c r="AL83" s="192">
        <f>SUM(AL84:AL88)</f>
        <v>0</v>
      </c>
      <c r="AM83" s="192">
        <f t="shared" ref="AM83:AM89" si="33">AJ83+AK83+AL83</f>
        <v>0</v>
      </c>
      <c r="AN83" s="192">
        <f>SUM(AN84:AN88)</f>
        <v>0</v>
      </c>
      <c r="AO83" s="192">
        <f>SUM(AO84:AO88)</f>
        <v>0</v>
      </c>
      <c r="AP83" s="192">
        <f>SUM(AP84:AP88)</f>
        <v>0</v>
      </c>
      <c r="AQ83" s="192">
        <f t="shared" ref="AQ83:AQ89" si="34">AN83+AO83+AP83</f>
        <v>0</v>
      </c>
      <c r="AR83" s="192">
        <f t="shared" ref="AR83:AR89" si="35">AE83+AI83+AM83+AQ83</f>
        <v>0</v>
      </c>
    </row>
    <row r="84" spans="2:44" x14ac:dyDescent="0.25">
      <c r="B84" s="181" t="s">
        <v>263</v>
      </c>
      <c r="C84" s="182" t="s">
        <v>147</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27"/>
        <v>0</v>
      </c>
      <c r="G84" s="183"/>
      <c r="H84" s="183">
        <f t="shared" si="28"/>
        <v>0</v>
      </c>
      <c r="I84" s="183"/>
      <c r="J84" s="183">
        <f t="shared" si="29"/>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31"/>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32"/>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33"/>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34"/>
        <v>0</v>
      </c>
      <c r="AR84" s="183">
        <f t="shared" si="35"/>
        <v>0</v>
      </c>
    </row>
    <row r="85" spans="2:44" x14ac:dyDescent="0.25">
      <c r="B85" s="181" t="s">
        <v>598</v>
      </c>
      <c r="C85" s="182" t="s">
        <v>599</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si="27"/>
        <v>0</v>
      </c>
      <c r="G85" s="183"/>
      <c r="H85" s="183">
        <f t="shared" si="28"/>
        <v>0</v>
      </c>
      <c r="I85" s="183"/>
      <c r="J85" s="183">
        <f t="shared" si="29"/>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si="31"/>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si="32"/>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si="33"/>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si="34"/>
        <v>0</v>
      </c>
      <c r="AR85" s="183">
        <f t="shared" si="35"/>
        <v>0</v>
      </c>
    </row>
    <row r="86" spans="2:44" x14ac:dyDescent="0.25">
      <c r="B86" s="181" t="s">
        <v>264</v>
      </c>
      <c r="C86" s="182" t="s">
        <v>148</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7"/>
        <v>0</v>
      </c>
      <c r="G86" s="183"/>
      <c r="H86" s="183">
        <f t="shared" si="28"/>
        <v>0</v>
      </c>
      <c r="I86" s="183"/>
      <c r="J86" s="183">
        <f t="shared" si="29"/>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31"/>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32"/>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33"/>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34"/>
        <v>0</v>
      </c>
      <c r="AR86" s="183">
        <f t="shared" si="35"/>
        <v>0</v>
      </c>
    </row>
    <row r="87" spans="2:44" x14ac:dyDescent="0.25">
      <c r="B87" s="181" t="s">
        <v>600</v>
      </c>
      <c r="C87" s="182" t="s">
        <v>601</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si="27"/>
        <v>0</v>
      </c>
      <c r="G87" s="183"/>
      <c r="H87" s="183">
        <f t="shared" si="28"/>
        <v>0</v>
      </c>
      <c r="I87" s="183"/>
      <c r="J87" s="183">
        <f t="shared" si="29"/>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si="31"/>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si="32"/>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si="33"/>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si="34"/>
        <v>0</v>
      </c>
      <c r="AR87" s="183">
        <f t="shared" si="35"/>
        <v>0</v>
      </c>
    </row>
    <row r="88" spans="2:44" x14ac:dyDescent="0.25">
      <c r="B88" s="181" t="s">
        <v>602</v>
      </c>
      <c r="C88" s="182" t="s">
        <v>603</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7"/>
        <v>0</v>
      </c>
      <c r="G88" s="183"/>
      <c r="H88" s="183">
        <f t="shared" si="28"/>
        <v>0</v>
      </c>
      <c r="I88" s="183"/>
      <c r="J88" s="183">
        <f t="shared" si="29"/>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31"/>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32"/>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33"/>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34"/>
        <v>0</v>
      </c>
      <c r="AR88" s="183">
        <f t="shared" si="35"/>
        <v>0</v>
      </c>
    </row>
    <row r="89" spans="2:44" x14ac:dyDescent="0.25">
      <c r="B89" s="190" t="s">
        <v>265</v>
      </c>
      <c r="C89" s="191" t="s">
        <v>149</v>
      </c>
      <c r="D89" s="192">
        <f>SUM(D90:D95)</f>
        <v>0</v>
      </c>
      <c r="E89" s="192">
        <f>SUM(E90:E95)</f>
        <v>0</v>
      </c>
      <c r="F89" s="192">
        <f t="shared" si="27"/>
        <v>0</v>
      </c>
      <c r="G89" s="192">
        <f>SUM(G90:G95)</f>
        <v>0</v>
      </c>
      <c r="H89" s="192">
        <f t="shared" si="28"/>
        <v>0</v>
      </c>
      <c r="I89" s="192">
        <f>SUM(I90:I95)</f>
        <v>0</v>
      </c>
      <c r="J89" s="192">
        <f t="shared" si="29"/>
        <v>0</v>
      </c>
      <c r="K89" s="192">
        <f t="shared" ref="K89:AP89" si="36">SUM(K90:K95)</f>
        <v>0</v>
      </c>
      <c r="L89" s="192">
        <f t="shared" si="36"/>
        <v>0</v>
      </c>
      <c r="M89" s="192">
        <f t="shared" si="36"/>
        <v>0</v>
      </c>
      <c r="N89" s="192">
        <f t="shared" si="36"/>
        <v>0</v>
      </c>
      <c r="O89" s="192">
        <f t="shared" si="36"/>
        <v>0</v>
      </c>
      <c r="P89" s="192">
        <f>SUM(P90:P95)</f>
        <v>0</v>
      </c>
      <c r="Q89" s="192">
        <f>SUM(Q90:Q95)</f>
        <v>0</v>
      </c>
      <c r="R89" s="192">
        <f t="shared" si="36"/>
        <v>0</v>
      </c>
      <c r="S89" s="192">
        <f t="shared" si="36"/>
        <v>0</v>
      </c>
      <c r="T89" s="192">
        <f>SUM(T90:T95)</f>
        <v>0</v>
      </c>
      <c r="U89" s="192">
        <f t="shared" si="36"/>
        <v>0</v>
      </c>
      <c r="V89" s="192">
        <f t="shared" si="36"/>
        <v>0</v>
      </c>
      <c r="W89" s="192">
        <f>SUM(W90:W95)</f>
        <v>0</v>
      </c>
      <c r="X89" s="192">
        <f t="shared" si="36"/>
        <v>0</v>
      </c>
      <c r="Y89" s="192">
        <f>SUM(Y90:Y95)</f>
        <v>0</v>
      </c>
      <c r="Z89" s="192">
        <f>SUM(Z90:Z95)</f>
        <v>0</v>
      </c>
      <c r="AA89" s="192">
        <f t="shared" si="36"/>
        <v>0</v>
      </c>
      <c r="AB89" s="192">
        <f t="shared" si="36"/>
        <v>0</v>
      </c>
      <c r="AC89" s="192">
        <f t="shared" si="36"/>
        <v>0</v>
      </c>
      <c r="AD89" s="192">
        <f t="shared" si="36"/>
        <v>0</v>
      </c>
      <c r="AE89" s="192">
        <f t="shared" si="31"/>
        <v>0</v>
      </c>
      <c r="AF89" s="192">
        <f t="shared" si="36"/>
        <v>0</v>
      </c>
      <c r="AG89" s="192">
        <f t="shared" si="36"/>
        <v>0</v>
      </c>
      <c r="AH89" s="192">
        <f t="shared" si="36"/>
        <v>0</v>
      </c>
      <c r="AI89" s="192">
        <f t="shared" si="32"/>
        <v>0</v>
      </c>
      <c r="AJ89" s="192">
        <f t="shared" si="36"/>
        <v>0</v>
      </c>
      <c r="AK89" s="192">
        <f t="shared" si="36"/>
        <v>0</v>
      </c>
      <c r="AL89" s="192">
        <f t="shared" si="36"/>
        <v>0</v>
      </c>
      <c r="AM89" s="192">
        <f t="shared" si="33"/>
        <v>0</v>
      </c>
      <c r="AN89" s="192">
        <f t="shared" si="36"/>
        <v>0</v>
      </c>
      <c r="AO89" s="192">
        <f t="shared" si="36"/>
        <v>0</v>
      </c>
      <c r="AP89" s="192">
        <f t="shared" si="36"/>
        <v>0</v>
      </c>
      <c r="AQ89" s="192">
        <f t="shared" si="34"/>
        <v>0</v>
      </c>
      <c r="AR89" s="192">
        <f t="shared" si="35"/>
        <v>0</v>
      </c>
    </row>
    <row r="90" spans="2:44" x14ac:dyDescent="0.25">
      <c r="B90" s="181" t="s">
        <v>266</v>
      </c>
      <c r="C90" s="182" t="s">
        <v>150</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37">D90+E90</f>
        <v>0</v>
      </c>
      <c r="G90" s="183"/>
      <c r="H90" s="183">
        <f t="shared" ref="H90:H95" si="38">F90-G90</f>
        <v>0</v>
      </c>
      <c r="I90" s="183"/>
      <c r="J90" s="183">
        <f t="shared" ref="J90:J95" si="39">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40">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41">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42">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43">AN90+AO90+AP90</f>
        <v>0</v>
      </c>
      <c r="AR90" s="183">
        <f t="shared" ref="AR90:AR95" si="44">AE90+AI90+AM90+AQ90</f>
        <v>0</v>
      </c>
    </row>
    <row r="91" spans="2:44" x14ac:dyDescent="0.25">
      <c r="B91" s="181" t="s">
        <v>604</v>
      </c>
      <c r="C91" s="182" t="s">
        <v>605</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37"/>
        <v>0</v>
      </c>
      <c r="G91" s="183"/>
      <c r="H91" s="183">
        <f t="shared" si="38"/>
        <v>0</v>
      </c>
      <c r="I91" s="183"/>
      <c r="J91" s="183">
        <f t="shared" si="39"/>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40"/>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41"/>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42"/>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43"/>
        <v>0</v>
      </c>
      <c r="AR91" s="183">
        <f t="shared" si="44"/>
        <v>0</v>
      </c>
    </row>
    <row r="92" spans="2:44" x14ac:dyDescent="0.25">
      <c r="B92" s="181" t="s">
        <v>267</v>
      </c>
      <c r="C92" s="182" t="s">
        <v>151</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D92+E92</f>
        <v>0</v>
      </c>
      <c r="G92" s="183"/>
      <c r="H92" s="183">
        <f>F92-G92</f>
        <v>0</v>
      </c>
      <c r="I92" s="183"/>
      <c r="J92" s="183">
        <f>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AN92+AO92+AP92</f>
        <v>0</v>
      </c>
      <c r="AR92" s="183">
        <f>AE92+AI92+AM92+AQ92</f>
        <v>0</v>
      </c>
    </row>
    <row r="93" spans="2:44" x14ac:dyDescent="0.25">
      <c r="B93" s="181" t="s">
        <v>606</v>
      </c>
      <c r="C93" s="182" t="s">
        <v>607</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D93+E93</f>
        <v>0</v>
      </c>
      <c r="G93" s="183"/>
      <c r="H93" s="183">
        <f>F93-G93</f>
        <v>0</v>
      </c>
      <c r="I93" s="183"/>
      <c r="J93" s="183">
        <f>F93-I93</f>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AB93+AC93+AD93</f>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AF93+AG93+AH93</f>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AJ93+AK93+AL93</f>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AN93+AO93+AP93</f>
        <v>0</v>
      </c>
      <c r="AR93" s="183">
        <f>AE93+AI93+AM93+AQ93</f>
        <v>0</v>
      </c>
    </row>
    <row r="94" spans="2:44" x14ac:dyDescent="0.25">
      <c r="B94" s="181" t="s">
        <v>608</v>
      </c>
      <c r="C94" s="182" t="s">
        <v>609</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D94+E94</f>
        <v>0</v>
      </c>
      <c r="G94" s="183"/>
      <c r="H94" s="183">
        <f>F94-G94</f>
        <v>0</v>
      </c>
      <c r="I94" s="183"/>
      <c r="J94" s="183">
        <f>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AN94+AO94+AP94</f>
        <v>0</v>
      </c>
      <c r="AR94" s="183">
        <f>AE94+AI94+AM94+AQ94</f>
        <v>0</v>
      </c>
    </row>
    <row r="95" spans="2:44" x14ac:dyDescent="0.25">
      <c r="B95" s="181" t="s">
        <v>610</v>
      </c>
      <c r="C95" s="182" t="s">
        <v>611</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37"/>
        <v>0</v>
      </c>
      <c r="G95" s="183"/>
      <c r="H95" s="183">
        <f t="shared" si="38"/>
        <v>0</v>
      </c>
      <c r="I95" s="183"/>
      <c r="J95" s="183">
        <f t="shared" si="39"/>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40"/>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41"/>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42"/>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43"/>
        <v>0</v>
      </c>
      <c r="AR95" s="183">
        <f t="shared" si="44"/>
        <v>0</v>
      </c>
    </row>
    <row r="96" spans="2:44" x14ac:dyDescent="0.25">
      <c r="B96" s="190" t="s">
        <v>268</v>
      </c>
      <c r="C96" s="191" t="s">
        <v>152</v>
      </c>
      <c r="D96" s="192">
        <f>SUM(D97:D105)</f>
        <v>0</v>
      </c>
      <c r="E96" s="192">
        <f>SUM(E97:E105)</f>
        <v>0</v>
      </c>
      <c r="F96" s="192">
        <f t="shared" ref="F96:F119" si="45">D96+E96</f>
        <v>0</v>
      </c>
      <c r="G96" s="192">
        <f>SUM(G97:G105)</f>
        <v>0</v>
      </c>
      <c r="H96" s="192">
        <f t="shared" ref="H96:H107" si="46">F96-G96</f>
        <v>0</v>
      </c>
      <c r="I96" s="192">
        <f>SUM(I97:I105)</f>
        <v>0</v>
      </c>
      <c r="J96" s="192">
        <f t="shared" ref="J96:J107" si="47">F96-I96</f>
        <v>0</v>
      </c>
      <c r="K96" s="192">
        <f t="shared" ref="K96:AD96" si="48">SUM(K97:K105)</f>
        <v>0</v>
      </c>
      <c r="L96" s="192">
        <f t="shared" si="48"/>
        <v>0</v>
      </c>
      <c r="M96" s="192">
        <f t="shared" si="48"/>
        <v>0</v>
      </c>
      <c r="N96" s="192">
        <f t="shared" si="48"/>
        <v>0</v>
      </c>
      <c r="O96" s="192">
        <f t="shared" si="48"/>
        <v>0</v>
      </c>
      <c r="P96" s="192">
        <f>SUM(P97:P105)</f>
        <v>0</v>
      </c>
      <c r="Q96" s="192">
        <f>SUM(Q97:Q105)</f>
        <v>0</v>
      </c>
      <c r="R96" s="192">
        <f t="shared" si="48"/>
        <v>0</v>
      </c>
      <c r="S96" s="192">
        <f t="shared" si="48"/>
        <v>0</v>
      </c>
      <c r="T96" s="192">
        <f>SUM(T97:T105)</f>
        <v>0</v>
      </c>
      <c r="U96" s="192">
        <f t="shared" si="48"/>
        <v>0</v>
      </c>
      <c r="V96" s="192">
        <f t="shared" si="48"/>
        <v>0</v>
      </c>
      <c r="W96" s="192">
        <f>SUM(W97:W105)</f>
        <v>0</v>
      </c>
      <c r="X96" s="192">
        <f t="shared" si="48"/>
        <v>0</v>
      </c>
      <c r="Y96" s="192">
        <f>SUM(Y97:Y105)</f>
        <v>0</v>
      </c>
      <c r="Z96" s="192">
        <f>SUM(Z97:Z105)</f>
        <v>0</v>
      </c>
      <c r="AA96" s="192">
        <f t="shared" si="48"/>
        <v>0</v>
      </c>
      <c r="AB96" s="192">
        <f t="shared" si="48"/>
        <v>0</v>
      </c>
      <c r="AC96" s="192">
        <f t="shared" si="48"/>
        <v>0</v>
      </c>
      <c r="AD96" s="192">
        <f t="shared" si="48"/>
        <v>0</v>
      </c>
      <c r="AE96" s="192">
        <f t="shared" ref="AE96:AE107" si="49">AB96+AC96+AD96</f>
        <v>0</v>
      </c>
      <c r="AF96" s="192">
        <f>SUM(AF97:AF105)</f>
        <v>0</v>
      </c>
      <c r="AG96" s="192">
        <f>SUM(AG97:AG105)</f>
        <v>0</v>
      </c>
      <c r="AH96" s="192">
        <f>SUM(AH97:AH105)</f>
        <v>0</v>
      </c>
      <c r="AI96" s="192">
        <f t="shared" ref="AI96:AI107" si="50">AF96+AG96+AH96</f>
        <v>0</v>
      </c>
      <c r="AJ96" s="192">
        <f>SUM(AJ97:AJ105)</f>
        <v>0</v>
      </c>
      <c r="AK96" s="192">
        <f>SUM(AK97:AK105)</f>
        <v>0</v>
      </c>
      <c r="AL96" s="192">
        <f>SUM(AL97:AL105)</f>
        <v>0</v>
      </c>
      <c r="AM96" s="192">
        <f t="shared" ref="AM96:AM107" si="51">AJ96+AK96+AL96</f>
        <v>0</v>
      </c>
      <c r="AN96" s="192">
        <f>SUM(AN97:AN105)</f>
        <v>0</v>
      </c>
      <c r="AO96" s="192">
        <f>SUM(AO97:AO105)</f>
        <v>0</v>
      </c>
      <c r="AP96" s="192">
        <f>SUM(AP97:AP105)</f>
        <v>0</v>
      </c>
      <c r="AQ96" s="192">
        <f t="shared" ref="AQ96:AQ107" si="52">AN96+AO96+AP96</f>
        <v>0</v>
      </c>
      <c r="AR96" s="192">
        <f t="shared" ref="AR96:AR107" si="53">AE96+AI96+AM96+AQ96</f>
        <v>0</v>
      </c>
    </row>
    <row r="97" spans="2:44" x14ac:dyDescent="0.25">
      <c r="B97" s="181" t="s">
        <v>616</v>
      </c>
      <c r="C97" s="182" t="s">
        <v>617</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 t="shared" si="45"/>
        <v>0</v>
      </c>
      <c r="G97" s="183"/>
      <c r="H97" s="183">
        <f t="shared" si="46"/>
        <v>0</v>
      </c>
      <c r="I97" s="183"/>
      <c r="J97" s="183">
        <f t="shared" si="47"/>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 t="shared" si="49"/>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 t="shared" si="50"/>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 t="shared" si="51"/>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 t="shared" si="52"/>
        <v>0</v>
      </c>
      <c r="AR97" s="183">
        <f t="shared" si="53"/>
        <v>0</v>
      </c>
    </row>
    <row r="98" spans="2:44" x14ac:dyDescent="0.25">
      <c r="B98" s="181" t="s">
        <v>618</v>
      </c>
      <c r="C98" s="182" t="s">
        <v>619</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si="45"/>
        <v>0</v>
      </c>
      <c r="G98" s="183"/>
      <c r="H98" s="183">
        <f t="shared" si="46"/>
        <v>0</v>
      </c>
      <c r="I98" s="183"/>
      <c r="J98" s="183">
        <f t="shared" si="47"/>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si="49"/>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si="50"/>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si="51"/>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si="52"/>
        <v>0</v>
      </c>
      <c r="AR98" s="183">
        <f t="shared" si="53"/>
        <v>0</v>
      </c>
    </row>
    <row r="99" spans="2:44" x14ac:dyDescent="0.25">
      <c r="B99" s="181" t="s">
        <v>269</v>
      </c>
      <c r="C99" s="182" t="s">
        <v>153</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si="45"/>
        <v>0</v>
      </c>
      <c r="G99" s="183"/>
      <c r="H99" s="183">
        <f t="shared" si="46"/>
        <v>0</v>
      </c>
      <c r="I99" s="183"/>
      <c r="J99" s="183">
        <f t="shared" si="47"/>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si="49"/>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si="50"/>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si="51"/>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si="52"/>
        <v>0</v>
      </c>
      <c r="AR99" s="183">
        <f t="shared" si="53"/>
        <v>0</v>
      </c>
    </row>
    <row r="100" spans="2:44" x14ac:dyDescent="0.25">
      <c r="B100" s="181" t="s">
        <v>612</v>
      </c>
      <c r="C100" s="182" t="s">
        <v>613</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si="45"/>
        <v>0</v>
      </c>
      <c r="G100" s="183"/>
      <c r="H100" s="183">
        <f t="shared" si="46"/>
        <v>0</v>
      </c>
      <c r="I100" s="183"/>
      <c r="J100" s="183">
        <f t="shared" si="47"/>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si="49"/>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si="50"/>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si="51"/>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si="52"/>
        <v>0</v>
      </c>
      <c r="AR100" s="183">
        <f t="shared" si="53"/>
        <v>0</v>
      </c>
    </row>
    <row r="101" spans="2:44" x14ac:dyDescent="0.25">
      <c r="B101" s="181" t="s">
        <v>614</v>
      </c>
      <c r="C101" s="182" t="s">
        <v>615</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si="45"/>
        <v>0</v>
      </c>
      <c r="G101" s="183"/>
      <c r="H101" s="183">
        <f t="shared" si="46"/>
        <v>0</v>
      </c>
      <c r="I101" s="183"/>
      <c r="J101" s="183">
        <f t="shared" si="47"/>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si="49"/>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si="50"/>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si="51"/>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si="52"/>
        <v>0</v>
      </c>
      <c r="AR101" s="183">
        <f t="shared" si="53"/>
        <v>0</v>
      </c>
    </row>
    <row r="102" spans="2:44" x14ac:dyDescent="0.25">
      <c r="B102" s="181" t="s">
        <v>270</v>
      </c>
      <c r="C102" s="182" t="s">
        <v>154</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45"/>
        <v>0</v>
      </c>
      <c r="G102" s="183"/>
      <c r="H102" s="183">
        <f t="shared" si="46"/>
        <v>0</v>
      </c>
      <c r="I102" s="183"/>
      <c r="J102" s="183">
        <f t="shared" si="47"/>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49"/>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50"/>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51"/>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52"/>
        <v>0</v>
      </c>
      <c r="AR102" s="183">
        <f t="shared" si="53"/>
        <v>0</v>
      </c>
    </row>
    <row r="103" spans="2:44" x14ac:dyDescent="0.25">
      <c r="B103" s="181" t="s">
        <v>620</v>
      </c>
      <c r="C103" s="182" t="s">
        <v>617</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 t="shared" si="45"/>
        <v>0</v>
      </c>
      <c r="G103" s="183"/>
      <c r="H103" s="183">
        <f t="shared" si="46"/>
        <v>0</v>
      </c>
      <c r="I103" s="183"/>
      <c r="J103" s="183">
        <f t="shared" si="47"/>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 t="shared" si="49"/>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 t="shared" si="50"/>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 t="shared" si="51"/>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 t="shared" si="52"/>
        <v>0</v>
      </c>
      <c r="AR103" s="183">
        <f t="shared" si="53"/>
        <v>0</v>
      </c>
    </row>
    <row r="104" spans="2:44" x14ac:dyDescent="0.25">
      <c r="B104" s="181" t="s">
        <v>271</v>
      </c>
      <c r="C104" s="182" t="s">
        <v>155</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si="45"/>
        <v>0</v>
      </c>
      <c r="G104" s="183"/>
      <c r="H104" s="183">
        <f t="shared" si="46"/>
        <v>0</v>
      </c>
      <c r="I104" s="183"/>
      <c r="J104" s="183">
        <f t="shared" si="47"/>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si="49"/>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si="50"/>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si="51"/>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si="52"/>
        <v>0</v>
      </c>
      <c r="AR104" s="183">
        <f t="shared" si="53"/>
        <v>0</v>
      </c>
    </row>
    <row r="105" spans="2:44" x14ac:dyDescent="0.25">
      <c r="B105" s="181" t="s">
        <v>621</v>
      </c>
      <c r="C105" s="182" t="s">
        <v>619</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45"/>
        <v>0</v>
      </c>
      <c r="G105" s="183"/>
      <c r="H105" s="183">
        <f t="shared" si="46"/>
        <v>0</v>
      </c>
      <c r="I105" s="183"/>
      <c r="J105" s="183">
        <f t="shared" si="47"/>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49"/>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50"/>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51"/>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52"/>
        <v>0</v>
      </c>
      <c r="AR105" s="183">
        <f t="shared" si="53"/>
        <v>0</v>
      </c>
    </row>
    <row r="106" spans="2:44" x14ac:dyDescent="0.25">
      <c r="B106" s="178" t="s">
        <v>275</v>
      </c>
      <c r="C106" s="179" t="s">
        <v>159</v>
      </c>
      <c r="D106" s="180">
        <f>D107+D118+D133+D149+D164+D190+D207+D214</f>
        <v>813901.28899999999</v>
      </c>
      <c r="E106" s="180">
        <f>E107+E118+E133+E149+E164+E190+E207+E214</f>
        <v>1531050.32225</v>
      </c>
      <c r="F106" s="180">
        <f t="shared" si="45"/>
        <v>2344951.6112500001</v>
      </c>
      <c r="G106" s="180">
        <f>G107+G118+G133+G149+G164+G190+G207+G214</f>
        <v>0</v>
      </c>
      <c r="H106" s="180">
        <f t="shared" si="46"/>
        <v>2344951.6112500001</v>
      </c>
      <c r="I106" s="180">
        <f>I107+I118+I133+I149+I164+I190+I207+I214</f>
        <v>0</v>
      </c>
      <c r="J106" s="180">
        <f t="shared" si="47"/>
        <v>2344951.6112500001</v>
      </c>
      <c r="K106" s="180">
        <f t="shared" ref="K106:AD106" si="54">K107+K118+K133+K149+K164+K190+K207+K214</f>
        <v>0</v>
      </c>
      <c r="L106" s="180">
        <f t="shared" si="54"/>
        <v>0</v>
      </c>
      <c r="M106" s="180">
        <f t="shared" si="54"/>
        <v>0</v>
      </c>
      <c r="N106" s="180">
        <f t="shared" si="54"/>
        <v>0</v>
      </c>
      <c r="O106" s="180">
        <f t="shared" si="54"/>
        <v>0</v>
      </c>
      <c r="P106" s="180">
        <f t="shared" si="54"/>
        <v>0</v>
      </c>
      <c r="Q106" s="180">
        <f t="shared" si="54"/>
        <v>725576.28899999999</v>
      </c>
      <c r="R106" s="180">
        <f t="shared" si="54"/>
        <v>0</v>
      </c>
      <c r="S106" s="180">
        <f t="shared" si="54"/>
        <v>0</v>
      </c>
      <c r="T106" s="180">
        <f>T107+T118+T133+T149+T164+T190+T207+T214</f>
        <v>0</v>
      </c>
      <c r="U106" s="180">
        <f t="shared" si="54"/>
        <v>0</v>
      </c>
      <c r="V106" s="180">
        <f t="shared" si="54"/>
        <v>0</v>
      </c>
      <c r="W106" s="180">
        <f t="shared" si="54"/>
        <v>0</v>
      </c>
      <c r="X106" s="180">
        <f t="shared" si="54"/>
        <v>0</v>
      </c>
      <c r="Y106" s="180">
        <f>Y107+Y118+Y133+Y149+Y164+Y190+Y207+Y214</f>
        <v>1296625.32225</v>
      </c>
      <c r="Z106" s="180">
        <f>Z107+Z118+Z133+Z149+Z164+Z190+Z207+Z214</f>
        <v>300000</v>
      </c>
      <c r="AA106" s="180">
        <f t="shared" si="54"/>
        <v>22750</v>
      </c>
      <c r="AB106" s="180">
        <f t="shared" si="54"/>
        <v>0</v>
      </c>
      <c r="AC106" s="180">
        <f t="shared" si="54"/>
        <v>482425</v>
      </c>
      <c r="AD106" s="180">
        <f t="shared" si="54"/>
        <v>226275</v>
      </c>
      <c r="AE106" s="180">
        <f t="shared" si="49"/>
        <v>708700</v>
      </c>
      <c r="AF106" s="180">
        <f>AF107+AF118+AF133+AF149+AF164+AF190+AF207+AF214</f>
        <v>45450</v>
      </c>
      <c r="AG106" s="180">
        <f>AG107+AG118+AG133+AG149+AG164+AG190+AG207+AG214</f>
        <v>48175</v>
      </c>
      <c r="AH106" s="180">
        <f>AH107+AH118+AH133+AH149+AH164+AH190+AH207+AH214</f>
        <v>440175.32224999997</v>
      </c>
      <c r="AI106" s="180">
        <f t="shared" si="50"/>
        <v>533800.32224999997</v>
      </c>
      <c r="AJ106" s="180">
        <f>AJ107+AJ118+AJ133+AJ149+AJ164+AJ190+AJ207+AJ214</f>
        <v>7000</v>
      </c>
      <c r="AK106" s="180">
        <f>AK107+AK118+AK133+AK149+AK164+AK190+AK207+AK214</f>
        <v>852725.64449999994</v>
      </c>
      <c r="AL106" s="180">
        <f>AL107+AL118+AL133+AL149+AL164+AL190+AL207+AL214</f>
        <v>75000</v>
      </c>
      <c r="AM106" s="180">
        <f t="shared" si="51"/>
        <v>934725.64449999994</v>
      </c>
      <c r="AN106" s="180">
        <f>AN107+AN118+AN133+AN149+AN164+AN190+AN207+AN214</f>
        <v>146975.64449999999</v>
      </c>
      <c r="AO106" s="180">
        <f>AO107+AO118+AO133+AO149+AO164+AO190+AO207+AO214</f>
        <v>20750</v>
      </c>
      <c r="AP106" s="180">
        <f>AP107+AP118+AP133+AP149+AP164+AP190+AP207+AP214</f>
        <v>0</v>
      </c>
      <c r="AQ106" s="180">
        <f t="shared" si="52"/>
        <v>167725.64449999999</v>
      </c>
      <c r="AR106" s="180">
        <f t="shared" si="53"/>
        <v>2344951.6112499996</v>
      </c>
    </row>
    <row r="107" spans="2:44" x14ac:dyDescent="0.25">
      <c r="B107" s="190" t="s">
        <v>276</v>
      </c>
      <c r="C107" s="191" t="s">
        <v>160</v>
      </c>
      <c r="D107" s="192">
        <f>SUM(D108:D117)</f>
        <v>0</v>
      </c>
      <c r="E107" s="192">
        <f>SUM(E108:E117)</f>
        <v>0</v>
      </c>
      <c r="F107" s="192">
        <f t="shared" si="45"/>
        <v>0</v>
      </c>
      <c r="G107" s="192">
        <f>SUM(G108:G117)</f>
        <v>0</v>
      </c>
      <c r="H107" s="192">
        <f t="shared" si="46"/>
        <v>0</v>
      </c>
      <c r="I107" s="192">
        <f>SUM(I108:I117)</f>
        <v>0</v>
      </c>
      <c r="J107" s="192">
        <f t="shared" si="47"/>
        <v>0</v>
      </c>
      <c r="K107" s="192">
        <f t="shared" ref="K107:AD107" si="55">SUM(K108:K117)</f>
        <v>0</v>
      </c>
      <c r="L107" s="192">
        <f t="shared" si="55"/>
        <v>0</v>
      </c>
      <c r="M107" s="192">
        <f t="shared" si="55"/>
        <v>0</v>
      </c>
      <c r="N107" s="192">
        <f t="shared" si="55"/>
        <v>0</v>
      </c>
      <c r="O107" s="192">
        <f t="shared" si="55"/>
        <v>0</v>
      </c>
      <c r="P107" s="192">
        <f>SUM(P108:P117)</f>
        <v>0</v>
      </c>
      <c r="Q107" s="192">
        <f>SUM(Q108:Q117)</f>
        <v>0</v>
      </c>
      <c r="R107" s="192">
        <f t="shared" si="55"/>
        <v>0</v>
      </c>
      <c r="S107" s="192">
        <f t="shared" si="55"/>
        <v>0</v>
      </c>
      <c r="T107" s="192">
        <f>SUM(T108:T117)</f>
        <v>0</v>
      </c>
      <c r="U107" s="192">
        <f t="shared" si="55"/>
        <v>0</v>
      </c>
      <c r="V107" s="192">
        <f t="shared" si="55"/>
        <v>0</v>
      </c>
      <c r="W107" s="192">
        <f>SUM(W108:W117)</f>
        <v>0</v>
      </c>
      <c r="X107" s="192">
        <f t="shared" si="55"/>
        <v>0</v>
      </c>
      <c r="Y107" s="192">
        <f>SUM(Y108:Y117)</f>
        <v>0</v>
      </c>
      <c r="Z107" s="192">
        <f>SUM(Z108:Z117)</f>
        <v>0</v>
      </c>
      <c r="AA107" s="192">
        <f t="shared" si="55"/>
        <v>0</v>
      </c>
      <c r="AB107" s="192">
        <f t="shared" si="55"/>
        <v>0</v>
      </c>
      <c r="AC107" s="192">
        <f t="shared" si="55"/>
        <v>0</v>
      </c>
      <c r="AD107" s="192">
        <f t="shared" si="55"/>
        <v>0</v>
      </c>
      <c r="AE107" s="192">
        <f t="shared" si="49"/>
        <v>0</v>
      </c>
      <c r="AF107" s="192">
        <f>SUM(AF108:AF117)</f>
        <v>0</v>
      </c>
      <c r="AG107" s="192">
        <f>SUM(AG108:AG117)</f>
        <v>0</v>
      </c>
      <c r="AH107" s="192">
        <f>SUM(AH108:AH117)</f>
        <v>0</v>
      </c>
      <c r="AI107" s="192">
        <f t="shared" si="50"/>
        <v>0</v>
      </c>
      <c r="AJ107" s="192">
        <f>SUM(AJ108:AJ117)</f>
        <v>0</v>
      </c>
      <c r="AK107" s="192">
        <f>SUM(AK108:AK117)</f>
        <v>0</v>
      </c>
      <c r="AL107" s="192">
        <f>SUM(AL108:AL117)</f>
        <v>0</v>
      </c>
      <c r="AM107" s="192">
        <f t="shared" si="51"/>
        <v>0</v>
      </c>
      <c r="AN107" s="192">
        <f>SUM(AN108:AN117)</f>
        <v>0</v>
      </c>
      <c r="AO107" s="192">
        <f>SUM(AO108:AO117)</f>
        <v>0</v>
      </c>
      <c r="AP107" s="192">
        <f>SUM(AP108:AP117)</f>
        <v>0</v>
      </c>
      <c r="AQ107" s="192">
        <f t="shared" si="52"/>
        <v>0</v>
      </c>
      <c r="AR107" s="192">
        <f t="shared" si="53"/>
        <v>0</v>
      </c>
    </row>
    <row r="108" spans="2:44" x14ac:dyDescent="0.25">
      <c r="B108" s="181" t="s">
        <v>622</v>
      </c>
      <c r="C108" s="182" t="s">
        <v>122</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45"/>
        <v>0</v>
      </c>
      <c r="G108" s="183"/>
      <c r="H108" s="183">
        <f t="shared" ref="H108:H115" si="56">F108-G108</f>
        <v>0</v>
      </c>
      <c r="I108" s="183"/>
      <c r="J108" s="183">
        <f t="shared" ref="J108:J115" si="5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5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5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6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61">AN108+AO108+AP108</f>
        <v>0</v>
      </c>
      <c r="AR108" s="183">
        <f t="shared" ref="AR108:AR115" si="62">AE108+AI108+AM108+AQ108</f>
        <v>0</v>
      </c>
    </row>
    <row r="109" spans="2:44" x14ac:dyDescent="0.25">
      <c r="B109" s="181" t="s">
        <v>623</v>
      </c>
      <c r="C109" s="182" t="s">
        <v>624</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si="45"/>
        <v>0</v>
      </c>
      <c r="G109" s="183"/>
      <c r="H109" s="183">
        <f t="shared" si="56"/>
        <v>0</v>
      </c>
      <c r="I109" s="183"/>
      <c r="J109" s="183">
        <f t="shared" si="5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5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5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6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61"/>
        <v>0</v>
      </c>
      <c r="AR109" s="183">
        <f t="shared" si="62"/>
        <v>0</v>
      </c>
    </row>
    <row r="110" spans="2:44" x14ac:dyDescent="0.25">
      <c r="B110" s="181" t="s">
        <v>625</v>
      </c>
      <c r="C110" s="182" t="s">
        <v>626</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45"/>
        <v>0</v>
      </c>
      <c r="G110" s="183"/>
      <c r="H110" s="183">
        <f t="shared" si="56"/>
        <v>0</v>
      </c>
      <c r="I110" s="183"/>
      <c r="J110" s="183">
        <f t="shared" si="5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5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5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6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61"/>
        <v>0</v>
      </c>
      <c r="AR110" s="183">
        <f t="shared" si="62"/>
        <v>0</v>
      </c>
    </row>
    <row r="111" spans="2:44" x14ac:dyDescent="0.25">
      <c r="B111" s="181" t="s">
        <v>277</v>
      </c>
      <c r="C111" s="182" t="s">
        <v>161</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45"/>
        <v>0</v>
      </c>
      <c r="G111" s="183"/>
      <c r="H111" s="183">
        <f>F111-G111</f>
        <v>0</v>
      </c>
      <c r="I111" s="183"/>
      <c r="J111" s="183">
        <f>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AN111+AO111+AP111</f>
        <v>0</v>
      </c>
      <c r="AR111" s="183">
        <f>AE111+AI111+AM111+AQ111</f>
        <v>0</v>
      </c>
    </row>
    <row r="112" spans="2:44" x14ac:dyDescent="0.25">
      <c r="B112" s="181" t="s">
        <v>627</v>
      </c>
      <c r="C112" s="182" t="s">
        <v>628</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45"/>
        <v>0</v>
      </c>
      <c r="G112" s="183"/>
      <c r="H112" s="183">
        <f>F112-G112</f>
        <v>0</v>
      </c>
      <c r="I112" s="183"/>
      <c r="J112" s="183">
        <f>F112-I112</f>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AB112+AC112+AD112</f>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AF112+AG112+AH112</f>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AJ112+AK112+AL112</f>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AN112+AO112+AP112</f>
        <v>0</v>
      </c>
      <c r="AR112" s="183">
        <f>AE112+AI112+AM112+AQ112</f>
        <v>0</v>
      </c>
    </row>
    <row r="113" spans="2:44" x14ac:dyDescent="0.25">
      <c r="B113" s="181" t="s">
        <v>629</v>
      </c>
      <c r="C113" s="182" t="s">
        <v>630</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45"/>
        <v>0</v>
      </c>
      <c r="G113" s="183"/>
      <c r="H113" s="183">
        <f>F113-G113</f>
        <v>0</v>
      </c>
      <c r="I113" s="183"/>
      <c r="J113" s="183">
        <f>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AN113+AO113+AP113</f>
        <v>0</v>
      </c>
      <c r="AR113" s="183">
        <f>AE113+AI113+AM113+AQ113</f>
        <v>0</v>
      </c>
    </row>
    <row r="114" spans="2:44" x14ac:dyDescent="0.25">
      <c r="B114" s="181" t="s">
        <v>631</v>
      </c>
      <c r="C114" s="182" t="s">
        <v>632</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45"/>
        <v>0</v>
      </c>
      <c r="G114" s="183"/>
      <c r="H114" s="183">
        <f>F114-G114</f>
        <v>0</v>
      </c>
      <c r="I114" s="183"/>
      <c r="J114" s="183">
        <f>F114-I114</f>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AB114+AC114+AD114</f>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AF114+AG114+AH114</f>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AJ114+AK114+AL114</f>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AN114+AO114+AP114</f>
        <v>0</v>
      </c>
      <c r="AR114" s="183">
        <f>AE114+AI114+AM114+AQ114</f>
        <v>0</v>
      </c>
    </row>
    <row r="115" spans="2:44" x14ac:dyDescent="0.25">
      <c r="B115" s="181" t="s">
        <v>633</v>
      </c>
      <c r="C115" s="182" t="s">
        <v>634</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si="45"/>
        <v>0</v>
      </c>
      <c r="G115" s="183"/>
      <c r="H115" s="183">
        <f t="shared" si="56"/>
        <v>0</v>
      </c>
      <c r="I115" s="183"/>
      <c r="J115" s="183">
        <f t="shared" si="5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5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5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6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61"/>
        <v>0</v>
      </c>
      <c r="AR115" s="183">
        <f t="shared" si="62"/>
        <v>0</v>
      </c>
    </row>
    <row r="116" spans="2:44" x14ac:dyDescent="0.25">
      <c r="B116" s="181" t="s">
        <v>635</v>
      </c>
      <c r="C116" s="182" t="s">
        <v>636</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si="45"/>
        <v>0</v>
      </c>
      <c r="G116" s="183"/>
      <c r="H116" s="183">
        <f>F116-G116</f>
        <v>0</v>
      </c>
      <c r="I116" s="183"/>
      <c r="J116" s="183">
        <f>F116-I116</f>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AB116+AC116+AD116</f>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AF116+AG116+AH116</f>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AJ116+AK116+AL116</f>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AN116+AO116+AP116</f>
        <v>0</v>
      </c>
      <c r="AR116" s="183">
        <f>AE116+AI116+AM116+AQ116</f>
        <v>0</v>
      </c>
    </row>
    <row r="117" spans="2:44" x14ac:dyDescent="0.25">
      <c r="B117" s="181" t="s">
        <v>637</v>
      </c>
      <c r="C117" s="182" t="s">
        <v>638</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45"/>
        <v>0</v>
      </c>
      <c r="G117" s="183"/>
      <c r="H117" s="183">
        <f>F117-G117</f>
        <v>0</v>
      </c>
      <c r="I117" s="183"/>
      <c r="J117" s="183">
        <f>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AN117+AO117+AP117</f>
        <v>0</v>
      </c>
      <c r="AR117" s="183">
        <f>AE117+AI117+AM117+AQ117</f>
        <v>0</v>
      </c>
    </row>
    <row r="118" spans="2:44" x14ac:dyDescent="0.25">
      <c r="B118" s="190" t="s">
        <v>278</v>
      </c>
      <c r="C118" s="191" t="s">
        <v>162</v>
      </c>
      <c r="D118" s="192">
        <f>SUM(D119:D132)</f>
        <v>0</v>
      </c>
      <c r="E118" s="192">
        <f>SUM(E119:E132)</f>
        <v>0</v>
      </c>
      <c r="F118" s="192">
        <f t="shared" si="45"/>
        <v>0</v>
      </c>
      <c r="G118" s="192">
        <f>SUM(G119:G132)</f>
        <v>0</v>
      </c>
      <c r="H118" s="192">
        <f>F118-G118</f>
        <v>0</v>
      </c>
      <c r="I118" s="192">
        <f>SUM(I119:I132)</f>
        <v>0</v>
      </c>
      <c r="J118" s="192">
        <f>F118-I118</f>
        <v>0</v>
      </c>
      <c r="K118" s="192">
        <f t="shared" ref="K118:AP118" si="63">SUM(K119:K132)</f>
        <v>0</v>
      </c>
      <c r="L118" s="192">
        <f t="shared" si="63"/>
        <v>0</v>
      </c>
      <c r="M118" s="192">
        <f t="shared" si="63"/>
        <v>0</v>
      </c>
      <c r="N118" s="192">
        <f t="shared" si="63"/>
        <v>0</v>
      </c>
      <c r="O118" s="192">
        <f t="shared" si="63"/>
        <v>0</v>
      </c>
      <c r="P118" s="192">
        <f>SUM(P119:P132)</f>
        <v>0</v>
      </c>
      <c r="Q118" s="192">
        <f>SUM(Q119:Q132)</f>
        <v>0</v>
      </c>
      <c r="R118" s="192">
        <f t="shared" si="63"/>
        <v>0</v>
      </c>
      <c r="S118" s="192">
        <f t="shared" si="63"/>
        <v>0</v>
      </c>
      <c r="T118" s="192">
        <f>SUM(T119:T132)</f>
        <v>0</v>
      </c>
      <c r="U118" s="192">
        <f t="shared" si="63"/>
        <v>0</v>
      </c>
      <c r="V118" s="192">
        <f t="shared" si="63"/>
        <v>0</v>
      </c>
      <c r="W118" s="192">
        <f>SUM(W119:W132)</f>
        <v>0</v>
      </c>
      <c r="X118" s="192">
        <f t="shared" si="63"/>
        <v>0</v>
      </c>
      <c r="Y118" s="192">
        <f>SUM(Y119:Y132)</f>
        <v>0</v>
      </c>
      <c r="Z118" s="192">
        <f>SUM(Z119:Z132)</f>
        <v>0</v>
      </c>
      <c r="AA118" s="192">
        <f t="shared" si="63"/>
        <v>0</v>
      </c>
      <c r="AB118" s="192">
        <f t="shared" si="63"/>
        <v>0</v>
      </c>
      <c r="AC118" s="192">
        <f t="shared" si="63"/>
        <v>0</v>
      </c>
      <c r="AD118" s="192">
        <f t="shared" si="63"/>
        <v>0</v>
      </c>
      <c r="AE118" s="192">
        <f>AB118+AC118+AD118</f>
        <v>0</v>
      </c>
      <c r="AF118" s="192">
        <f t="shared" si="63"/>
        <v>0</v>
      </c>
      <c r="AG118" s="192">
        <f t="shared" si="63"/>
        <v>0</v>
      </c>
      <c r="AH118" s="192">
        <f t="shared" si="63"/>
        <v>0</v>
      </c>
      <c r="AI118" s="192">
        <f>AF118+AG118+AH118</f>
        <v>0</v>
      </c>
      <c r="AJ118" s="192">
        <f t="shared" si="63"/>
        <v>0</v>
      </c>
      <c r="AK118" s="192">
        <f t="shared" si="63"/>
        <v>0</v>
      </c>
      <c r="AL118" s="192">
        <f t="shared" si="63"/>
        <v>0</v>
      </c>
      <c r="AM118" s="192">
        <f>AJ118+AK118+AL118</f>
        <v>0</v>
      </c>
      <c r="AN118" s="192">
        <f t="shared" si="63"/>
        <v>0</v>
      </c>
      <c r="AO118" s="192">
        <f t="shared" si="63"/>
        <v>0</v>
      </c>
      <c r="AP118" s="192">
        <f t="shared" si="63"/>
        <v>0</v>
      </c>
      <c r="AQ118" s="192">
        <f>AN118+AO118+AP118</f>
        <v>0</v>
      </c>
      <c r="AR118" s="192">
        <f>AE118+AI118+AM118+AQ118</f>
        <v>0</v>
      </c>
    </row>
    <row r="119" spans="2:44" x14ac:dyDescent="0.25">
      <c r="B119" s="181" t="s">
        <v>279</v>
      </c>
      <c r="C119" s="182" t="s">
        <v>163</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45"/>
        <v>0</v>
      </c>
      <c r="G119" s="183"/>
      <c r="H119" s="183">
        <f>F119-G119</f>
        <v>0</v>
      </c>
      <c r="I119" s="183"/>
      <c r="J119" s="183">
        <f>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AN119+AO119+AP119</f>
        <v>0</v>
      </c>
      <c r="AR119" s="183">
        <f>AE119+AI119+AM119+AQ119</f>
        <v>0</v>
      </c>
    </row>
    <row r="120" spans="2:44" x14ac:dyDescent="0.25">
      <c r="B120" s="181" t="s">
        <v>639</v>
      </c>
      <c r="C120" s="182" t="s">
        <v>640</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64">D120+E120</f>
        <v>0</v>
      </c>
      <c r="G120" s="183"/>
      <c r="H120" s="183">
        <f t="shared" ref="H120:H125" si="65">F120-G120</f>
        <v>0</v>
      </c>
      <c r="I120" s="183"/>
      <c r="J120" s="183">
        <f t="shared" ref="J120:J125" si="66">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67">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68">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69">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70">AN120+AO120+AP120</f>
        <v>0</v>
      </c>
      <c r="AR120" s="183">
        <f t="shared" ref="AR120:AR125" si="71">AE120+AI120+AM120+AQ120</f>
        <v>0</v>
      </c>
    </row>
    <row r="121" spans="2:44" x14ac:dyDescent="0.25">
      <c r="B121" s="181" t="s">
        <v>280</v>
      </c>
      <c r="C121" s="182" t="s">
        <v>164</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64"/>
        <v>0</v>
      </c>
      <c r="G121" s="183"/>
      <c r="H121" s="183">
        <f t="shared" si="65"/>
        <v>0</v>
      </c>
      <c r="I121" s="183"/>
      <c r="J121" s="183">
        <f t="shared" si="66"/>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67"/>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68"/>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69"/>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70"/>
        <v>0</v>
      </c>
      <c r="AR121" s="183">
        <f t="shared" si="71"/>
        <v>0</v>
      </c>
    </row>
    <row r="122" spans="2:44" x14ac:dyDescent="0.25">
      <c r="B122" s="181" t="s">
        <v>641</v>
      </c>
      <c r="C122" s="182" t="s">
        <v>642</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64"/>
        <v>0</v>
      </c>
      <c r="G122" s="183"/>
      <c r="H122" s="183">
        <f t="shared" si="65"/>
        <v>0</v>
      </c>
      <c r="I122" s="183"/>
      <c r="J122" s="183">
        <f t="shared" si="66"/>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67"/>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68"/>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69"/>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70"/>
        <v>0</v>
      </c>
      <c r="AR122" s="183">
        <f t="shared" si="71"/>
        <v>0</v>
      </c>
    </row>
    <row r="123" spans="2:44" x14ac:dyDescent="0.25">
      <c r="B123" s="181" t="s">
        <v>643</v>
      </c>
      <c r="C123" s="182" t="s">
        <v>644</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64"/>
        <v>0</v>
      </c>
      <c r="G123" s="183"/>
      <c r="H123" s="183">
        <f t="shared" si="65"/>
        <v>0</v>
      </c>
      <c r="I123" s="183"/>
      <c r="J123" s="183">
        <f t="shared" si="66"/>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67"/>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68"/>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69"/>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70"/>
        <v>0</v>
      </c>
      <c r="AR123" s="183">
        <f t="shared" si="71"/>
        <v>0</v>
      </c>
    </row>
    <row r="124" spans="2:44" x14ac:dyDescent="0.25">
      <c r="B124" s="181" t="s">
        <v>645</v>
      </c>
      <c r="C124" s="182" t="s">
        <v>646</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64"/>
        <v>0</v>
      </c>
      <c r="G124" s="183"/>
      <c r="H124" s="183">
        <f t="shared" si="65"/>
        <v>0</v>
      </c>
      <c r="I124" s="183"/>
      <c r="J124" s="183">
        <f t="shared" si="66"/>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67"/>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68"/>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69"/>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70"/>
        <v>0</v>
      </c>
      <c r="AR124" s="183">
        <f t="shared" si="71"/>
        <v>0</v>
      </c>
    </row>
    <row r="125" spans="2:44" x14ac:dyDescent="0.25">
      <c r="B125" s="181" t="s">
        <v>647</v>
      </c>
      <c r="C125" s="182" t="s">
        <v>648</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64"/>
        <v>0</v>
      </c>
      <c r="G125" s="183"/>
      <c r="H125" s="183">
        <f t="shared" si="65"/>
        <v>0</v>
      </c>
      <c r="I125" s="183"/>
      <c r="J125" s="183">
        <f t="shared" si="66"/>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67"/>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68"/>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69"/>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70"/>
        <v>0</v>
      </c>
      <c r="AR125" s="183">
        <f t="shared" si="71"/>
        <v>0</v>
      </c>
    </row>
    <row r="126" spans="2:44" x14ac:dyDescent="0.25">
      <c r="B126" s="181" t="s">
        <v>649</v>
      </c>
      <c r="C126" s="182" t="s">
        <v>650</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ref="F126:F137" si="72">D126+E126</f>
        <v>0</v>
      </c>
      <c r="G126" s="183"/>
      <c r="H126" s="183">
        <f t="shared" ref="H126:H133" si="73">F126-G126</f>
        <v>0</v>
      </c>
      <c r="I126" s="183"/>
      <c r="J126" s="183">
        <f t="shared" ref="J126:J133" si="74">F126-I126</f>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ref="AE126:AE133" si="75">AB126+AC126+AD126</f>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ref="AI126:AI133" si="76">AF126+AG126+AH126</f>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ref="AM126:AM133" si="77">AJ126+AK126+AL126</f>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ref="AQ126:AQ133" si="78">AN126+AO126+AP126</f>
        <v>0</v>
      </c>
      <c r="AR126" s="183">
        <f t="shared" ref="AR126:AR133" si="79">AE126+AI126+AM126+AQ126</f>
        <v>0</v>
      </c>
    </row>
    <row r="127" spans="2:44" x14ac:dyDescent="0.25">
      <c r="B127" s="181" t="s">
        <v>651</v>
      </c>
      <c r="C127" s="182" t="s">
        <v>652</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72"/>
        <v>0</v>
      </c>
      <c r="G127" s="183"/>
      <c r="H127" s="183">
        <f t="shared" si="73"/>
        <v>0</v>
      </c>
      <c r="I127" s="183"/>
      <c r="J127" s="183">
        <f t="shared" si="7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7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7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7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78"/>
        <v>0</v>
      </c>
      <c r="AR127" s="183">
        <f t="shared" si="79"/>
        <v>0</v>
      </c>
    </row>
    <row r="128" spans="2:44" x14ac:dyDescent="0.25">
      <c r="B128" s="181" t="s">
        <v>653</v>
      </c>
      <c r="C128" s="182" t="s">
        <v>654</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si="72"/>
        <v>0</v>
      </c>
      <c r="G128" s="183"/>
      <c r="H128" s="183">
        <f t="shared" si="73"/>
        <v>0</v>
      </c>
      <c r="I128" s="183"/>
      <c r="J128" s="183">
        <f t="shared" si="74"/>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si="75"/>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si="76"/>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si="77"/>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si="78"/>
        <v>0</v>
      </c>
      <c r="AR128" s="183">
        <f t="shared" si="79"/>
        <v>0</v>
      </c>
    </row>
    <row r="129" spans="2:44" x14ac:dyDescent="0.25">
      <c r="B129" s="181" t="s">
        <v>281</v>
      </c>
      <c r="C129" s="182" t="s">
        <v>165</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si="72"/>
        <v>0</v>
      </c>
      <c r="G129" s="183"/>
      <c r="H129" s="183">
        <f t="shared" si="73"/>
        <v>0</v>
      </c>
      <c r="I129" s="183"/>
      <c r="J129" s="183">
        <f t="shared" si="74"/>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si="75"/>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si="76"/>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si="77"/>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si="78"/>
        <v>0</v>
      </c>
      <c r="AR129" s="183">
        <f t="shared" si="79"/>
        <v>0</v>
      </c>
    </row>
    <row r="130" spans="2:44" x14ac:dyDescent="0.25">
      <c r="B130" s="181" t="s">
        <v>655</v>
      </c>
      <c r="C130" s="182" t="s">
        <v>656</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72"/>
        <v>0</v>
      </c>
      <c r="G130" s="183"/>
      <c r="H130" s="183">
        <f t="shared" si="73"/>
        <v>0</v>
      </c>
      <c r="I130" s="183"/>
      <c r="J130" s="183">
        <f t="shared" si="74"/>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75"/>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76"/>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77"/>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78"/>
        <v>0</v>
      </c>
      <c r="AR130" s="183">
        <f t="shared" si="79"/>
        <v>0</v>
      </c>
    </row>
    <row r="131" spans="2:44" x14ac:dyDescent="0.25">
      <c r="B131" s="181" t="s">
        <v>657</v>
      </c>
      <c r="C131" s="182" t="s">
        <v>658</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72"/>
        <v>0</v>
      </c>
      <c r="G131" s="183"/>
      <c r="H131" s="183">
        <f t="shared" si="73"/>
        <v>0</v>
      </c>
      <c r="I131" s="183"/>
      <c r="J131" s="183">
        <f t="shared" si="7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7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7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7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78"/>
        <v>0</v>
      </c>
      <c r="AR131" s="183">
        <f t="shared" si="79"/>
        <v>0</v>
      </c>
    </row>
    <row r="132" spans="2:44" x14ac:dyDescent="0.25">
      <c r="B132" s="181" t="s">
        <v>659</v>
      </c>
      <c r="C132" s="182" t="s">
        <v>660</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72"/>
        <v>0</v>
      </c>
      <c r="G132" s="183"/>
      <c r="H132" s="183">
        <f t="shared" si="73"/>
        <v>0</v>
      </c>
      <c r="I132" s="183"/>
      <c r="J132" s="183">
        <f t="shared" si="7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7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7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7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78"/>
        <v>0</v>
      </c>
      <c r="AR132" s="183">
        <f t="shared" si="79"/>
        <v>0</v>
      </c>
    </row>
    <row r="133" spans="2:44" x14ac:dyDescent="0.25">
      <c r="B133" s="190" t="s">
        <v>282</v>
      </c>
      <c r="C133" s="191" t="s">
        <v>166</v>
      </c>
      <c r="D133" s="192">
        <f>SUM(D134:D148)</f>
        <v>0</v>
      </c>
      <c r="E133" s="192">
        <f>SUM(E134:E148)</f>
        <v>300000</v>
      </c>
      <c r="F133" s="192">
        <f t="shared" si="72"/>
        <v>300000</v>
      </c>
      <c r="G133" s="192">
        <f>SUM(G134:G148)</f>
        <v>0</v>
      </c>
      <c r="H133" s="192">
        <f t="shared" si="73"/>
        <v>300000</v>
      </c>
      <c r="I133" s="192">
        <f>SUM(I134:I148)</f>
        <v>0</v>
      </c>
      <c r="J133" s="192">
        <f t="shared" si="74"/>
        <v>300000</v>
      </c>
      <c r="K133" s="192">
        <f t="shared" ref="K133:AP133" si="80">SUM(K134:K148)</f>
        <v>0</v>
      </c>
      <c r="L133" s="192">
        <f t="shared" si="80"/>
        <v>0</v>
      </c>
      <c r="M133" s="192">
        <f t="shared" si="80"/>
        <v>0</v>
      </c>
      <c r="N133" s="192">
        <f t="shared" si="80"/>
        <v>0</v>
      </c>
      <c r="O133" s="192">
        <f t="shared" si="80"/>
        <v>0</v>
      </c>
      <c r="P133" s="192">
        <f>SUM(P134:P148)</f>
        <v>0</v>
      </c>
      <c r="Q133" s="192">
        <f>SUM(Q134:Q148)</f>
        <v>0</v>
      </c>
      <c r="R133" s="192">
        <f t="shared" si="80"/>
        <v>0</v>
      </c>
      <c r="S133" s="192">
        <f t="shared" si="80"/>
        <v>0</v>
      </c>
      <c r="T133" s="192">
        <f>SUM(T134:T148)</f>
        <v>0</v>
      </c>
      <c r="U133" s="192">
        <f t="shared" si="80"/>
        <v>0</v>
      </c>
      <c r="V133" s="192">
        <f t="shared" si="80"/>
        <v>0</v>
      </c>
      <c r="W133" s="192">
        <f>SUM(W134:W148)</f>
        <v>0</v>
      </c>
      <c r="X133" s="192">
        <f t="shared" si="80"/>
        <v>0</v>
      </c>
      <c r="Y133" s="192">
        <f>SUM(Y134:Y148)</f>
        <v>0</v>
      </c>
      <c r="Z133" s="192">
        <f>SUM(Z134:Z148)</f>
        <v>300000</v>
      </c>
      <c r="AA133" s="192">
        <f t="shared" si="80"/>
        <v>0</v>
      </c>
      <c r="AB133" s="192">
        <f t="shared" si="80"/>
        <v>0</v>
      </c>
      <c r="AC133" s="192">
        <f t="shared" si="80"/>
        <v>300000</v>
      </c>
      <c r="AD133" s="192">
        <f t="shared" si="80"/>
        <v>0</v>
      </c>
      <c r="AE133" s="192">
        <f t="shared" si="75"/>
        <v>300000</v>
      </c>
      <c r="AF133" s="192">
        <f t="shared" si="80"/>
        <v>0</v>
      </c>
      <c r="AG133" s="192">
        <f t="shared" si="80"/>
        <v>0</v>
      </c>
      <c r="AH133" s="192">
        <f t="shared" si="80"/>
        <v>0</v>
      </c>
      <c r="AI133" s="192">
        <f t="shared" si="76"/>
        <v>0</v>
      </c>
      <c r="AJ133" s="192">
        <f t="shared" si="80"/>
        <v>0</v>
      </c>
      <c r="AK133" s="192">
        <f t="shared" si="80"/>
        <v>0</v>
      </c>
      <c r="AL133" s="192">
        <f t="shared" si="80"/>
        <v>0</v>
      </c>
      <c r="AM133" s="192">
        <f t="shared" si="77"/>
        <v>0</v>
      </c>
      <c r="AN133" s="192">
        <f t="shared" si="80"/>
        <v>0</v>
      </c>
      <c r="AO133" s="192">
        <f t="shared" si="80"/>
        <v>0</v>
      </c>
      <c r="AP133" s="192">
        <f t="shared" si="80"/>
        <v>0</v>
      </c>
      <c r="AQ133" s="192">
        <f t="shared" si="78"/>
        <v>0</v>
      </c>
      <c r="AR133" s="192">
        <f t="shared" si="79"/>
        <v>300000</v>
      </c>
    </row>
    <row r="134" spans="2:44" x14ac:dyDescent="0.25">
      <c r="B134" s="181" t="s">
        <v>661</v>
      </c>
      <c r="C134" s="182" t="s">
        <v>662</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300000</v>
      </c>
      <c r="F134" s="183">
        <f t="shared" si="72"/>
        <v>300000</v>
      </c>
      <c r="G134" s="183"/>
      <c r="H134" s="183">
        <f t="shared" ref="H134:H148" si="81">F134-G134</f>
        <v>300000</v>
      </c>
      <c r="I134" s="183"/>
      <c r="J134" s="183">
        <f t="shared" ref="J134:J148" si="82">F134-I134</f>
        <v>300000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83">AB134+AC134+AD134</f>
        <v>300000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84">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85">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86">AN134+AO134+AP134</f>
        <v>0</v>
      </c>
      <c r="AR134" s="183">
        <f t="shared" ref="AR134:AR148" si="87">AE134+AI134+AM134+AQ134</f>
        <v>300000</v>
      </c>
    </row>
    <row r="135" spans="2:44" x14ac:dyDescent="0.25">
      <c r="B135" s="181" t="s">
        <v>283</v>
      </c>
      <c r="C135" s="182" t="s">
        <v>167</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72"/>
        <v>0</v>
      </c>
      <c r="G135" s="183"/>
      <c r="H135" s="183">
        <f t="shared" si="81"/>
        <v>0</v>
      </c>
      <c r="I135" s="183"/>
      <c r="J135" s="183">
        <f t="shared" si="82"/>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83"/>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84"/>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85"/>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86"/>
        <v>0</v>
      </c>
      <c r="AR135" s="183">
        <f t="shared" si="87"/>
        <v>0</v>
      </c>
    </row>
    <row r="136" spans="2:44" x14ac:dyDescent="0.25">
      <c r="B136" s="181" t="s">
        <v>663</v>
      </c>
      <c r="C136" s="182" t="s">
        <v>664</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72"/>
        <v>0</v>
      </c>
      <c r="G136" s="183"/>
      <c r="H136" s="183">
        <f t="shared" si="81"/>
        <v>0</v>
      </c>
      <c r="I136" s="183"/>
      <c r="J136" s="183">
        <f t="shared" si="82"/>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83"/>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84"/>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85"/>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86"/>
        <v>0</v>
      </c>
      <c r="AR136" s="183">
        <f t="shared" si="87"/>
        <v>0</v>
      </c>
    </row>
    <row r="137" spans="2:44" x14ac:dyDescent="0.25">
      <c r="B137" s="181" t="s">
        <v>284</v>
      </c>
      <c r="C137" s="182" t="s">
        <v>168</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72"/>
        <v>0</v>
      </c>
      <c r="G137" s="183"/>
      <c r="H137" s="183">
        <f t="shared" si="81"/>
        <v>0</v>
      </c>
      <c r="I137" s="183"/>
      <c r="J137" s="183">
        <f t="shared" si="82"/>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83"/>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84"/>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85"/>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86"/>
        <v>0</v>
      </c>
      <c r="AR137" s="183">
        <f t="shared" si="87"/>
        <v>0</v>
      </c>
    </row>
    <row r="138" spans="2:44" x14ac:dyDescent="0.25">
      <c r="B138" s="181" t="s">
        <v>665</v>
      </c>
      <c r="C138" s="182" t="s">
        <v>666</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88">D138+E138</f>
        <v>0</v>
      </c>
      <c r="G138" s="183"/>
      <c r="H138" s="183">
        <f t="shared" ref="H138:H143" si="89">F138-G138</f>
        <v>0</v>
      </c>
      <c r="I138" s="183"/>
      <c r="J138" s="183">
        <f t="shared" ref="J138:J143" si="90">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91">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92">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93">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94">AN138+AO138+AP138</f>
        <v>0</v>
      </c>
      <c r="AR138" s="183">
        <f t="shared" ref="AR138:AR143" si="95">AE138+AI138+AM138+AQ138</f>
        <v>0</v>
      </c>
    </row>
    <row r="139" spans="2:44" x14ac:dyDescent="0.25">
      <c r="B139" s="181" t="s">
        <v>667</v>
      </c>
      <c r="C139" s="182" t="s">
        <v>668</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D139+E139</f>
        <v>0</v>
      </c>
      <c r="G139" s="183"/>
      <c r="H139" s="183">
        <f>F139-G139</f>
        <v>0</v>
      </c>
      <c r="I139" s="183"/>
      <c r="J139" s="183">
        <f>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AN139+AO139+AP139</f>
        <v>0</v>
      </c>
      <c r="AR139" s="183">
        <f>AE139+AI139+AM139+AQ139</f>
        <v>0</v>
      </c>
    </row>
    <row r="140" spans="2:44" x14ac:dyDescent="0.25">
      <c r="B140" s="181" t="s">
        <v>669</v>
      </c>
      <c r="C140" s="182" t="s">
        <v>670</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D140+E140</f>
        <v>0</v>
      </c>
      <c r="G140" s="183"/>
      <c r="H140" s="183">
        <f>F140-G140</f>
        <v>0</v>
      </c>
      <c r="I140" s="183"/>
      <c r="J140" s="183">
        <f>F140-I140</f>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AB140+AC140+AD140</f>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AF140+AG140+AH140</f>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AJ140+AK140+AL140</f>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AN140+AO140+AP140</f>
        <v>0</v>
      </c>
      <c r="AR140" s="183">
        <f>AE140+AI140+AM140+AQ140</f>
        <v>0</v>
      </c>
    </row>
    <row r="141" spans="2:44" x14ac:dyDescent="0.25">
      <c r="B141" s="181" t="s">
        <v>671</v>
      </c>
      <c r="C141" s="182" t="s">
        <v>672</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88"/>
        <v>0</v>
      </c>
      <c r="G141" s="183"/>
      <c r="H141" s="183">
        <f t="shared" si="89"/>
        <v>0</v>
      </c>
      <c r="I141" s="183"/>
      <c r="J141" s="183">
        <f t="shared" si="90"/>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91"/>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92"/>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93"/>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94"/>
        <v>0</v>
      </c>
      <c r="AR141" s="183">
        <f t="shared" si="95"/>
        <v>0</v>
      </c>
    </row>
    <row r="142" spans="2:44" x14ac:dyDescent="0.25">
      <c r="B142" s="181" t="s">
        <v>673</v>
      </c>
      <c r="C142" s="182" t="s">
        <v>674</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88"/>
        <v>0</v>
      </c>
      <c r="G142" s="183"/>
      <c r="H142" s="183">
        <f t="shared" si="89"/>
        <v>0</v>
      </c>
      <c r="I142" s="183"/>
      <c r="J142" s="183">
        <f t="shared" si="90"/>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91"/>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92"/>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93"/>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94"/>
        <v>0</v>
      </c>
      <c r="AR142" s="183">
        <f t="shared" si="95"/>
        <v>0</v>
      </c>
    </row>
    <row r="143" spans="2:44" x14ac:dyDescent="0.25">
      <c r="B143" s="181" t="s">
        <v>675</v>
      </c>
      <c r="C143" s="182" t="s">
        <v>676</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88"/>
        <v>0</v>
      </c>
      <c r="G143" s="183"/>
      <c r="H143" s="183">
        <f t="shared" si="89"/>
        <v>0</v>
      </c>
      <c r="I143" s="183"/>
      <c r="J143" s="183">
        <f t="shared" si="90"/>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91"/>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92"/>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93"/>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94"/>
        <v>0</v>
      </c>
      <c r="AR143" s="183">
        <f t="shared" si="95"/>
        <v>0</v>
      </c>
    </row>
    <row r="144" spans="2:44" x14ac:dyDescent="0.25">
      <c r="B144" s="181" t="s">
        <v>677</v>
      </c>
      <c r="C144" s="182" t="s">
        <v>678</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ref="F144:F168" si="96">D144+E144</f>
        <v>0</v>
      </c>
      <c r="G144" s="183"/>
      <c r="H144" s="183">
        <f t="shared" si="81"/>
        <v>0</v>
      </c>
      <c r="I144" s="183"/>
      <c r="J144" s="183">
        <f t="shared" si="82"/>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83"/>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84"/>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85"/>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86"/>
        <v>0</v>
      </c>
      <c r="AR144" s="183">
        <f t="shared" si="87"/>
        <v>0</v>
      </c>
    </row>
    <row r="145" spans="2:44" x14ac:dyDescent="0.25">
      <c r="B145" s="181" t="s">
        <v>679</v>
      </c>
      <c r="C145" s="182" t="s">
        <v>680</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96"/>
        <v>0</v>
      </c>
      <c r="G145" s="183"/>
      <c r="H145" s="183">
        <f t="shared" si="81"/>
        <v>0</v>
      </c>
      <c r="I145" s="183"/>
      <c r="J145" s="183">
        <f t="shared" si="82"/>
        <v>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83"/>
        <v>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84"/>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85"/>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86"/>
        <v>0</v>
      </c>
      <c r="AR145" s="183">
        <f t="shared" si="87"/>
        <v>0</v>
      </c>
    </row>
    <row r="146" spans="2:44" x14ac:dyDescent="0.25">
      <c r="B146" s="181" t="s">
        <v>681</v>
      </c>
      <c r="C146" s="182" t="s">
        <v>682</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si="96"/>
        <v>0</v>
      </c>
      <c r="G146" s="183"/>
      <c r="H146" s="183">
        <f>F146-G146</f>
        <v>0</v>
      </c>
      <c r="I146" s="183"/>
      <c r="J146" s="183">
        <f>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AN146+AO146+AP146</f>
        <v>0</v>
      </c>
      <c r="AR146" s="183">
        <f>AE146+AI146+AM146+AQ146</f>
        <v>0</v>
      </c>
    </row>
    <row r="147" spans="2:44" x14ac:dyDescent="0.25">
      <c r="B147" s="181" t="s">
        <v>683</v>
      </c>
      <c r="C147" s="182" t="s">
        <v>684</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si="96"/>
        <v>0</v>
      </c>
      <c r="G147" s="183"/>
      <c r="H147" s="183">
        <f>F147-G147</f>
        <v>0</v>
      </c>
      <c r="I147" s="183"/>
      <c r="J147" s="183">
        <f>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AN147+AO147+AP147</f>
        <v>0</v>
      </c>
      <c r="AR147" s="183">
        <f>AE147+AI147+AM147+AQ147</f>
        <v>0</v>
      </c>
    </row>
    <row r="148" spans="2:44" x14ac:dyDescent="0.25">
      <c r="B148" s="181" t="s">
        <v>685</v>
      </c>
      <c r="C148" s="182" t="s">
        <v>686</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96"/>
        <v>0</v>
      </c>
      <c r="G148" s="183"/>
      <c r="H148" s="183">
        <f t="shared" si="81"/>
        <v>0</v>
      </c>
      <c r="I148" s="183"/>
      <c r="J148" s="183">
        <f t="shared" si="82"/>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83"/>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84"/>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85"/>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86"/>
        <v>0</v>
      </c>
      <c r="AR148" s="183">
        <f t="shared" si="87"/>
        <v>0</v>
      </c>
    </row>
    <row r="149" spans="2:44" x14ac:dyDescent="0.25">
      <c r="B149" s="190" t="s">
        <v>285</v>
      </c>
      <c r="C149" s="191" t="s">
        <v>169</v>
      </c>
      <c r="D149" s="192">
        <f>SUM(D150:D163)</f>
        <v>0</v>
      </c>
      <c r="E149" s="192">
        <f>SUM(E150:E163)</f>
        <v>0</v>
      </c>
      <c r="F149" s="192">
        <f t="shared" si="96"/>
        <v>0</v>
      </c>
      <c r="G149" s="192">
        <f>SUM(G150:G163)</f>
        <v>0</v>
      </c>
      <c r="H149" s="192">
        <f t="shared" ref="H149:H168" si="97">F149-G149</f>
        <v>0</v>
      </c>
      <c r="I149" s="192">
        <f>SUM(I150:I163)</f>
        <v>0</v>
      </c>
      <c r="J149" s="192">
        <f t="shared" ref="J149:J168" si="98">F149-I149</f>
        <v>0</v>
      </c>
      <c r="K149" s="192">
        <f t="shared" ref="K149:AD149" si="99">SUM(K150:K163)</f>
        <v>0</v>
      </c>
      <c r="L149" s="192">
        <f t="shared" si="99"/>
        <v>0</v>
      </c>
      <c r="M149" s="192">
        <f t="shared" si="99"/>
        <v>0</v>
      </c>
      <c r="N149" s="192">
        <f t="shared" si="99"/>
        <v>0</v>
      </c>
      <c r="O149" s="192">
        <f t="shared" si="99"/>
        <v>0</v>
      </c>
      <c r="P149" s="192">
        <f>SUM(P150:P163)</f>
        <v>0</v>
      </c>
      <c r="Q149" s="192">
        <f>SUM(Q150:Q163)</f>
        <v>0</v>
      </c>
      <c r="R149" s="192">
        <f t="shared" si="99"/>
        <v>0</v>
      </c>
      <c r="S149" s="192">
        <f t="shared" si="99"/>
        <v>0</v>
      </c>
      <c r="T149" s="192">
        <f>SUM(T150:T163)</f>
        <v>0</v>
      </c>
      <c r="U149" s="192">
        <f t="shared" si="99"/>
        <v>0</v>
      </c>
      <c r="V149" s="192">
        <f t="shared" si="99"/>
        <v>0</v>
      </c>
      <c r="W149" s="192">
        <f>SUM(W150:W163)</f>
        <v>0</v>
      </c>
      <c r="X149" s="192">
        <f t="shared" si="99"/>
        <v>0</v>
      </c>
      <c r="Y149" s="192">
        <f>SUM(Y150:Y163)</f>
        <v>0</v>
      </c>
      <c r="Z149" s="192">
        <f>SUM(Z150:Z163)</f>
        <v>0</v>
      </c>
      <c r="AA149" s="192">
        <f t="shared" si="99"/>
        <v>0</v>
      </c>
      <c r="AB149" s="192">
        <f t="shared" si="99"/>
        <v>0</v>
      </c>
      <c r="AC149" s="192">
        <f t="shared" si="99"/>
        <v>0</v>
      </c>
      <c r="AD149" s="192">
        <f t="shared" si="99"/>
        <v>0</v>
      </c>
      <c r="AE149" s="192">
        <f t="shared" ref="AE149:AE168" si="100">AB149+AC149+AD149</f>
        <v>0</v>
      </c>
      <c r="AF149" s="192">
        <f>SUM(AF150:AF163)</f>
        <v>0</v>
      </c>
      <c r="AG149" s="192">
        <f>SUM(AG150:AG163)</f>
        <v>0</v>
      </c>
      <c r="AH149" s="192">
        <f>SUM(AH150:AH163)</f>
        <v>0</v>
      </c>
      <c r="AI149" s="192">
        <f t="shared" ref="AI149:AI168" si="101">AF149+AG149+AH149</f>
        <v>0</v>
      </c>
      <c r="AJ149" s="192">
        <f>SUM(AJ150:AJ163)</f>
        <v>0</v>
      </c>
      <c r="AK149" s="192">
        <f>SUM(AK150:AK163)</f>
        <v>0</v>
      </c>
      <c r="AL149" s="192">
        <f>SUM(AL150:AL163)</f>
        <v>0</v>
      </c>
      <c r="AM149" s="192">
        <f t="shared" ref="AM149:AM168" si="102">AJ149+AK149+AL149</f>
        <v>0</v>
      </c>
      <c r="AN149" s="192">
        <f>SUM(AN150:AN163)</f>
        <v>0</v>
      </c>
      <c r="AO149" s="192">
        <f>SUM(AO150:AO163)</f>
        <v>0</v>
      </c>
      <c r="AP149" s="192">
        <f>SUM(AP150:AP163)</f>
        <v>0</v>
      </c>
      <c r="AQ149" s="192">
        <f t="shared" ref="AQ149:AQ168" si="103">AN149+AO149+AP149</f>
        <v>0</v>
      </c>
      <c r="AR149" s="192">
        <f t="shared" ref="AR149:AR168" si="104">AE149+AI149+AM149+AQ149</f>
        <v>0</v>
      </c>
    </row>
    <row r="150" spans="2:44" x14ac:dyDescent="0.25">
      <c r="B150" s="181" t="s">
        <v>687</v>
      </c>
      <c r="C150" s="182" t="s">
        <v>688</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96"/>
        <v>0</v>
      </c>
      <c r="G150" s="183"/>
      <c r="H150" s="183">
        <f t="shared" si="97"/>
        <v>0</v>
      </c>
      <c r="I150" s="183"/>
      <c r="J150" s="183">
        <f t="shared" si="98"/>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si="100"/>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si="101"/>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si="102"/>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si="103"/>
        <v>0</v>
      </c>
      <c r="AR150" s="183">
        <f t="shared" si="104"/>
        <v>0</v>
      </c>
    </row>
    <row r="151" spans="2:44" x14ac:dyDescent="0.25">
      <c r="B151" s="181" t="s">
        <v>286</v>
      </c>
      <c r="C151" s="182" t="s">
        <v>170</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96"/>
        <v>0</v>
      </c>
      <c r="G151" s="183"/>
      <c r="H151" s="183">
        <f t="shared" si="97"/>
        <v>0</v>
      </c>
      <c r="I151" s="183"/>
      <c r="J151" s="183">
        <f t="shared" si="98"/>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100"/>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101"/>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102"/>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103"/>
        <v>0</v>
      </c>
      <c r="AR151" s="183">
        <f t="shared" si="104"/>
        <v>0</v>
      </c>
    </row>
    <row r="152" spans="2:44" x14ac:dyDescent="0.25">
      <c r="B152" s="181" t="s">
        <v>689</v>
      </c>
      <c r="C152" s="182" t="s">
        <v>690</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96"/>
        <v>0</v>
      </c>
      <c r="G152" s="183"/>
      <c r="H152" s="183">
        <f t="shared" si="97"/>
        <v>0</v>
      </c>
      <c r="I152" s="183"/>
      <c r="J152" s="183">
        <f t="shared" si="98"/>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100"/>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101"/>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102"/>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103"/>
        <v>0</v>
      </c>
      <c r="AR152" s="183">
        <f t="shared" si="104"/>
        <v>0</v>
      </c>
    </row>
    <row r="153" spans="2:44" x14ac:dyDescent="0.25">
      <c r="B153" s="181" t="s">
        <v>691</v>
      </c>
      <c r="C153" s="182" t="s">
        <v>692</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96"/>
        <v>0</v>
      </c>
      <c r="G153" s="183"/>
      <c r="H153" s="183">
        <f t="shared" si="97"/>
        <v>0</v>
      </c>
      <c r="I153" s="183"/>
      <c r="J153" s="183">
        <f t="shared" si="98"/>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100"/>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101"/>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102"/>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103"/>
        <v>0</v>
      </c>
      <c r="AR153" s="183">
        <f t="shared" si="104"/>
        <v>0</v>
      </c>
    </row>
    <row r="154" spans="2:44" x14ac:dyDescent="0.25">
      <c r="B154" s="181" t="s">
        <v>287</v>
      </c>
      <c r="C154" s="182" t="s">
        <v>171</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si="96"/>
        <v>0</v>
      </c>
      <c r="G154" s="183"/>
      <c r="H154" s="183">
        <f t="shared" si="97"/>
        <v>0</v>
      </c>
      <c r="I154" s="183"/>
      <c r="J154" s="183">
        <f t="shared" si="98"/>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si="100"/>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si="101"/>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si="102"/>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si="103"/>
        <v>0</v>
      </c>
      <c r="AR154" s="183">
        <f t="shared" si="104"/>
        <v>0</v>
      </c>
    </row>
    <row r="155" spans="2:44" x14ac:dyDescent="0.25">
      <c r="B155" s="181" t="s">
        <v>693</v>
      </c>
      <c r="C155" s="182" t="s">
        <v>694</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96"/>
        <v>0</v>
      </c>
      <c r="G155" s="183"/>
      <c r="H155" s="183">
        <f t="shared" si="97"/>
        <v>0</v>
      </c>
      <c r="I155" s="183"/>
      <c r="J155" s="183">
        <f t="shared" si="98"/>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100"/>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101"/>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102"/>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103"/>
        <v>0</v>
      </c>
      <c r="AR155" s="183">
        <f t="shared" si="104"/>
        <v>0</v>
      </c>
    </row>
    <row r="156" spans="2:44" x14ac:dyDescent="0.25">
      <c r="B156" s="181" t="s">
        <v>695</v>
      </c>
      <c r="C156" s="182" t="s">
        <v>696</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96"/>
        <v>0</v>
      </c>
      <c r="G156" s="183"/>
      <c r="H156" s="183">
        <f t="shared" si="97"/>
        <v>0</v>
      </c>
      <c r="I156" s="183"/>
      <c r="J156" s="183">
        <f t="shared" si="98"/>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100"/>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101"/>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102"/>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103"/>
        <v>0</v>
      </c>
      <c r="AR156" s="183">
        <f t="shared" si="104"/>
        <v>0</v>
      </c>
    </row>
    <row r="157" spans="2:44" x14ac:dyDescent="0.25">
      <c r="B157" s="181" t="s">
        <v>288</v>
      </c>
      <c r="C157" s="182" t="s">
        <v>172</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96"/>
        <v>0</v>
      </c>
      <c r="G157" s="183"/>
      <c r="H157" s="183">
        <f t="shared" si="97"/>
        <v>0</v>
      </c>
      <c r="I157" s="183"/>
      <c r="J157" s="183">
        <f t="shared" si="98"/>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100"/>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101"/>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102"/>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103"/>
        <v>0</v>
      </c>
      <c r="AR157" s="183">
        <f t="shared" si="104"/>
        <v>0</v>
      </c>
    </row>
    <row r="158" spans="2:44" x14ac:dyDescent="0.25">
      <c r="B158" s="181" t="s">
        <v>697</v>
      </c>
      <c r="C158" s="182" t="s">
        <v>698</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si="96"/>
        <v>0</v>
      </c>
      <c r="G158" s="183"/>
      <c r="H158" s="183">
        <f t="shared" si="97"/>
        <v>0</v>
      </c>
      <c r="I158" s="183"/>
      <c r="J158" s="183">
        <f t="shared" si="98"/>
        <v>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100"/>
        <v>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101"/>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102"/>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103"/>
        <v>0</v>
      </c>
      <c r="AR158" s="183">
        <f t="shared" si="104"/>
        <v>0</v>
      </c>
    </row>
    <row r="159" spans="2:44" x14ac:dyDescent="0.25">
      <c r="B159" s="181" t="s">
        <v>699</v>
      </c>
      <c r="C159" s="182" t="s">
        <v>700</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si="96"/>
        <v>0</v>
      </c>
      <c r="G159" s="183"/>
      <c r="H159" s="183">
        <f t="shared" si="97"/>
        <v>0</v>
      </c>
      <c r="I159" s="183"/>
      <c r="J159" s="183">
        <f t="shared" si="98"/>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si="100"/>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si="101"/>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si="102"/>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si="103"/>
        <v>0</v>
      </c>
      <c r="AR159" s="183">
        <f t="shared" si="104"/>
        <v>0</v>
      </c>
    </row>
    <row r="160" spans="2:44" x14ac:dyDescent="0.25">
      <c r="B160" s="181" t="s">
        <v>701</v>
      </c>
      <c r="C160" s="182" t="s">
        <v>702</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96"/>
        <v>0</v>
      </c>
      <c r="G160" s="183"/>
      <c r="H160" s="183">
        <f t="shared" si="97"/>
        <v>0</v>
      </c>
      <c r="I160" s="183"/>
      <c r="J160" s="183">
        <f t="shared" si="98"/>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100"/>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101"/>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102"/>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103"/>
        <v>0</v>
      </c>
      <c r="AR160" s="183">
        <f t="shared" si="104"/>
        <v>0</v>
      </c>
    </row>
    <row r="161" spans="2:44" x14ac:dyDescent="0.25">
      <c r="B161" s="181" t="s">
        <v>289</v>
      </c>
      <c r="C161" s="182" t="s">
        <v>173</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96"/>
        <v>0</v>
      </c>
      <c r="G161" s="183"/>
      <c r="H161" s="183">
        <f t="shared" si="97"/>
        <v>0</v>
      </c>
      <c r="I161" s="183"/>
      <c r="J161" s="183">
        <f t="shared" si="98"/>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100"/>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101"/>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102"/>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103"/>
        <v>0</v>
      </c>
      <c r="AR161" s="183">
        <f t="shared" si="104"/>
        <v>0</v>
      </c>
    </row>
    <row r="162" spans="2:44" x14ac:dyDescent="0.25">
      <c r="B162" s="181" t="s">
        <v>703</v>
      </c>
      <c r="C162" s="182" t="s">
        <v>704</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96"/>
        <v>0</v>
      </c>
      <c r="G162" s="183"/>
      <c r="H162" s="183">
        <f t="shared" si="97"/>
        <v>0</v>
      </c>
      <c r="I162" s="183"/>
      <c r="J162" s="183">
        <f t="shared" si="98"/>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100"/>
        <v>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101"/>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102"/>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103"/>
        <v>0</v>
      </c>
      <c r="AR162" s="183">
        <f t="shared" si="104"/>
        <v>0</v>
      </c>
    </row>
    <row r="163" spans="2:44" x14ac:dyDescent="0.25">
      <c r="B163" s="181" t="s">
        <v>705</v>
      </c>
      <c r="C163" s="182" t="s">
        <v>706</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96"/>
        <v>0</v>
      </c>
      <c r="G163" s="183"/>
      <c r="H163" s="183">
        <f t="shared" si="97"/>
        <v>0</v>
      </c>
      <c r="I163" s="183"/>
      <c r="J163" s="183">
        <f t="shared" si="98"/>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100"/>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101"/>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102"/>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103"/>
        <v>0</v>
      </c>
      <c r="AR163" s="183">
        <f t="shared" si="104"/>
        <v>0</v>
      </c>
    </row>
    <row r="164" spans="2:44" x14ac:dyDescent="0.25">
      <c r="B164" s="190" t="s">
        <v>290</v>
      </c>
      <c r="C164" s="191" t="s">
        <v>174</v>
      </c>
      <c r="D164" s="192">
        <f>SUM(D165:D189)</f>
        <v>155000</v>
      </c>
      <c r="E164" s="192">
        <f>SUM(E165:E189)</f>
        <v>916000</v>
      </c>
      <c r="F164" s="192">
        <f t="shared" si="96"/>
        <v>1071000</v>
      </c>
      <c r="G164" s="192">
        <f>SUM(G165:G189)</f>
        <v>0</v>
      </c>
      <c r="H164" s="192">
        <f t="shared" si="97"/>
        <v>1071000</v>
      </c>
      <c r="I164" s="192">
        <f>SUM(I165:I189)</f>
        <v>0</v>
      </c>
      <c r="J164" s="192">
        <f t="shared" si="98"/>
        <v>1071000</v>
      </c>
      <c r="K164" s="192">
        <f t="shared" ref="K164:AD164" si="105">SUM(K165:K189)</f>
        <v>0</v>
      </c>
      <c r="L164" s="192">
        <f t="shared" si="105"/>
        <v>0</v>
      </c>
      <c r="M164" s="192">
        <f t="shared" si="105"/>
        <v>0</v>
      </c>
      <c r="N164" s="192">
        <f t="shared" si="105"/>
        <v>0</v>
      </c>
      <c r="O164" s="192">
        <f t="shared" si="105"/>
        <v>0</v>
      </c>
      <c r="P164" s="192">
        <f>SUM(P165:P189)</f>
        <v>0</v>
      </c>
      <c r="Q164" s="192">
        <f>SUM(Q165:Q189)</f>
        <v>185000</v>
      </c>
      <c r="R164" s="192">
        <f t="shared" si="105"/>
        <v>0</v>
      </c>
      <c r="S164" s="192">
        <f t="shared" si="105"/>
        <v>0</v>
      </c>
      <c r="T164" s="192">
        <f>SUM(T165:T189)</f>
        <v>0</v>
      </c>
      <c r="U164" s="192">
        <f t="shared" si="105"/>
        <v>0</v>
      </c>
      <c r="V164" s="192">
        <f t="shared" si="105"/>
        <v>0</v>
      </c>
      <c r="W164" s="192">
        <f>SUM(W165:W189)</f>
        <v>0</v>
      </c>
      <c r="X164" s="192">
        <f t="shared" si="105"/>
        <v>0</v>
      </c>
      <c r="Y164" s="192">
        <f>SUM(Y165:Y189)</f>
        <v>886000</v>
      </c>
      <c r="Z164" s="192">
        <f>SUM(Z165:Z189)</f>
        <v>0</v>
      </c>
      <c r="AA164" s="192">
        <f t="shared" si="105"/>
        <v>0</v>
      </c>
      <c r="AB164" s="192">
        <f t="shared" si="105"/>
        <v>0</v>
      </c>
      <c r="AC164" s="192">
        <f t="shared" si="105"/>
        <v>0</v>
      </c>
      <c r="AD164" s="192">
        <f t="shared" si="105"/>
        <v>119000</v>
      </c>
      <c r="AE164" s="192">
        <f t="shared" si="100"/>
        <v>119000</v>
      </c>
      <c r="AF164" s="192">
        <f>SUM(AF165:AF189)</f>
        <v>29000</v>
      </c>
      <c r="AG164" s="192">
        <f>SUM(AG165:AG189)</f>
        <v>0</v>
      </c>
      <c r="AH164" s="192">
        <f>SUM(AH165:AH189)</f>
        <v>360000</v>
      </c>
      <c r="AI164" s="192">
        <f t="shared" si="101"/>
        <v>389000</v>
      </c>
      <c r="AJ164" s="192">
        <f>SUM(AJ165:AJ189)</f>
        <v>7000</v>
      </c>
      <c r="AK164" s="192">
        <f>SUM(AK165:AK189)</f>
        <v>531000</v>
      </c>
      <c r="AL164" s="192">
        <f>SUM(AL165:AL189)</f>
        <v>0</v>
      </c>
      <c r="AM164" s="192">
        <f t="shared" si="102"/>
        <v>538000</v>
      </c>
      <c r="AN164" s="192">
        <f>SUM(AN165:AN189)</f>
        <v>25000</v>
      </c>
      <c r="AO164" s="192">
        <f>SUM(AO165:AO189)</f>
        <v>0</v>
      </c>
      <c r="AP164" s="192">
        <f>SUM(AP165:AP189)</f>
        <v>0</v>
      </c>
      <c r="AQ164" s="192">
        <f t="shared" si="103"/>
        <v>25000</v>
      </c>
      <c r="AR164" s="192">
        <f t="shared" si="104"/>
        <v>1071000</v>
      </c>
    </row>
    <row r="165" spans="2:44" x14ac:dyDescent="0.25">
      <c r="B165" s="181" t="s">
        <v>291</v>
      </c>
      <c r="C165" s="182" t="s">
        <v>175</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96"/>
        <v>0</v>
      </c>
      <c r="G165" s="183"/>
      <c r="H165" s="183">
        <f t="shared" si="97"/>
        <v>0</v>
      </c>
      <c r="I165" s="183"/>
      <c r="J165" s="183">
        <f t="shared" si="98"/>
        <v>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si="100"/>
        <v>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si="101"/>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si="102"/>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si="103"/>
        <v>0</v>
      </c>
      <c r="AR165" s="183">
        <f t="shared" si="104"/>
        <v>0</v>
      </c>
    </row>
    <row r="166" spans="2:44" x14ac:dyDescent="0.25">
      <c r="B166" s="181" t="s">
        <v>707</v>
      </c>
      <c r="C166" s="182" t="s">
        <v>708</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96"/>
        <v>0</v>
      </c>
      <c r="G166" s="183"/>
      <c r="H166" s="183">
        <f t="shared" si="97"/>
        <v>0</v>
      </c>
      <c r="I166" s="183"/>
      <c r="J166" s="183">
        <f t="shared" si="98"/>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100"/>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101"/>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102"/>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103"/>
        <v>0</v>
      </c>
      <c r="AR166" s="183">
        <f t="shared" si="104"/>
        <v>0</v>
      </c>
    </row>
    <row r="167" spans="2:44" x14ac:dyDescent="0.25">
      <c r="B167" s="181" t="s">
        <v>709</v>
      </c>
      <c r="C167" s="182" t="s">
        <v>710</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si="96"/>
        <v>0</v>
      </c>
      <c r="G167" s="183"/>
      <c r="H167" s="183">
        <f t="shared" si="97"/>
        <v>0</v>
      </c>
      <c r="I167" s="183"/>
      <c r="J167" s="183">
        <f t="shared" si="98"/>
        <v>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si="100"/>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si="101"/>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si="102"/>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si="103"/>
        <v>0</v>
      </c>
      <c r="AR167" s="183">
        <f t="shared" si="104"/>
        <v>0</v>
      </c>
    </row>
    <row r="168" spans="2:44" x14ac:dyDescent="0.25">
      <c r="B168" s="181" t="s">
        <v>711</v>
      </c>
      <c r="C168" s="182" t="s">
        <v>712</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96"/>
        <v>0</v>
      </c>
      <c r="G168" s="183"/>
      <c r="H168" s="183">
        <f t="shared" si="97"/>
        <v>0</v>
      </c>
      <c r="I168" s="183"/>
      <c r="J168" s="183">
        <f t="shared" si="98"/>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100"/>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101"/>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102"/>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103"/>
        <v>0</v>
      </c>
      <c r="AR168" s="183">
        <f t="shared" si="104"/>
        <v>0</v>
      </c>
    </row>
    <row r="169" spans="2:44" x14ac:dyDescent="0.25">
      <c r="B169" s="181" t="s">
        <v>713</v>
      </c>
      <c r="C169" s="182" t="s">
        <v>714</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106">D169+E169</f>
        <v>0</v>
      </c>
      <c r="G169" s="183"/>
      <c r="H169" s="183">
        <f t="shared" ref="H169:H177" si="107">F169-G169</f>
        <v>0</v>
      </c>
      <c r="I169" s="183"/>
      <c r="J169" s="183">
        <f t="shared" ref="J169:J177" si="108">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109">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110">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111">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112">AN169+AO169+AP169</f>
        <v>0</v>
      </c>
      <c r="AR169" s="183">
        <f t="shared" ref="AR169:AR177" si="113">AE169+AI169+AM169+AQ169</f>
        <v>0</v>
      </c>
    </row>
    <row r="170" spans="2:44" x14ac:dyDescent="0.25">
      <c r="B170" s="181" t="s">
        <v>292</v>
      </c>
      <c r="C170" s="182" t="s">
        <v>176</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106"/>
        <v>0</v>
      </c>
      <c r="G170" s="183"/>
      <c r="H170" s="183">
        <f t="shared" si="107"/>
        <v>0</v>
      </c>
      <c r="I170" s="183"/>
      <c r="J170" s="183">
        <f t="shared" si="108"/>
        <v>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109"/>
        <v>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110"/>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111"/>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112"/>
        <v>0</v>
      </c>
      <c r="AR170" s="183">
        <f t="shared" si="113"/>
        <v>0</v>
      </c>
    </row>
    <row r="171" spans="2:44" x14ac:dyDescent="0.25">
      <c r="B171" s="181" t="s">
        <v>715</v>
      </c>
      <c r="C171" s="182" t="s">
        <v>716</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155000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360000</v>
      </c>
      <c r="F171" s="183">
        <f t="shared" si="106"/>
        <v>515000</v>
      </c>
      <c r="G171" s="183"/>
      <c r="H171" s="183">
        <f t="shared" si="107"/>
        <v>515000</v>
      </c>
      <c r="I171" s="183"/>
      <c r="J171" s="183">
        <f t="shared" si="108"/>
        <v>515000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515000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119000</v>
      </c>
      <c r="AE171" s="183">
        <f t="shared" si="109"/>
        <v>119000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29000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360000</v>
      </c>
      <c r="AI171" s="183">
        <f t="shared" si="110"/>
        <v>389000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7000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111"/>
        <v>7000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112"/>
        <v>0</v>
      </c>
      <c r="AR171" s="183">
        <f t="shared" si="113"/>
        <v>515000</v>
      </c>
    </row>
    <row r="172" spans="2:44" x14ac:dyDescent="0.25">
      <c r="B172" s="181" t="s">
        <v>717</v>
      </c>
      <c r="C172" s="182" t="s">
        <v>718</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106"/>
        <v>0</v>
      </c>
      <c r="G172" s="183"/>
      <c r="H172" s="183">
        <f t="shared" si="107"/>
        <v>0</v>
      </c>
      <c r="I172" s="183"/>
      <c r="J172" s="183">
        <f t="shared" si="108"/>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109"/>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110"/>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111"/>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112"/>
        <v>0</v>
      </c>
      <c r="AR172" s="183">
        <f t="shared" si="113"/>
        <v>0</v>
      </c>
    </row>
    <row r="173" spans="2:44" x14ac:dyDescent="0.25">
      <c r="B173" s="181" t="s">
        <v>719</v>
      </c>
      <c r="C173" s="182" t="s">
        <v>720</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106"/>
        <v>0</v>
      </c>
      <c r="G173" s="183"/>
      <c r="H173" s="183">
        <f t="shared" si="107"/>
        <v>0</v>
      </c>
      <c r="I173" s="183"/>
      <c r="J173" s="183">
        <f t="shared" si="108"/>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109"/>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110"/>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111"/>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112"/>
        <v>0</v>
      </c>
      <c r="AR173" s="183">
        <f t="shared" si="113"/>
        <v>0</v>
      </c>
    </row>
    <row r="174" spans="2:44" x14ac:dyDescent="0.25">
      <c r="B174" s="181" t="s">
        <v>721</v>
      </c>
      <c r="C174" s="182" t="s">
        <v>722</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106"/>
        <v>0</v>
      </c>
      <c r="G174" s="183"/>
      <c r="H174" s="183">
        <f t="shared" si="107"/>
        <v>0</v>
      </c>
      <c r="I174" s="183"/>
      <c r="J174" s="183">
        <f t="shared" si="108"/>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109"/>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110"/>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111"/>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112"/>
        <v>0</v>
      </c>
      <c r="AR174" s="183">
        <f t="shared" si="113"/>
        <v>0</v>
      </c>
    </row>
    <row r="175" spans="2:44" x14ac:dyDescent="0.25">
      <c r="B175" s="181" t="s">
        <v>723</v>
      </c>
      <c r="C175" s="182" t="s">
        <v>724</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106"/>
        <v>0</v>
      </c>
      <c r="G175" s="183"/>
      <c r="H175" s="183">
        <f t="shared" si="107"/>
        <v>0</v>
      </c>
      <c r="I175" s="183"/>
      <c r="J175" s="183">
        <f t="shared" si="108"/>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109"/>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110"/>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111"/>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112"/>
        <v>0</v>
      </c>
      <c r="AR175" s="183">
        <f t="shared" si="113"/>
        <v>0</v>
      </c>
    </row>
    <row r="176" spans="2:44" x14ac:dyDescent="0.25">
      <c r="B176" s="181" t="s">
        <v>293</v>
      </c>
      <c r="C176" s="182" t="s">
        <v>725</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106"/>
        <v>0</v>
      </c>
      <c r="G176" s="183"/>
      <c r="H176" s="183">
        <f t="shared" si="107"/>
        <v>0</v>
      </c>
      <c r="I176" s="183"/>
      <c r="J176" s="183">
        <f t="shared" si="108"/>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109"/>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110"/>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111"/>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112"/>
        <v>0</v>
      </c>
      <c r="AR176" s="183">
        <f t="shared" si="113"/>
        <v>0</v>
      </c>
    </row>
    <row r="177" spans="2:44" x14ac:dyDescent="0.25">
      <c r="B177" s="181" t="s">
        <v>726</v>
      </c>
      <c r="C177" s="182" t="s">
        <v>727</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106"/>
        <v>0</v>
      </c>
      <c r="G177" s="183"/>
      <c r="H177" s="183">
        <f t="shared" si="107"/>
        <v>0</v>
      </c>
      <c r="I177" s="183"/>
      <c r="J177" s="183">
        <f t="shared" si="108"/>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109"/>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110"/>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111"/>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112"/>
        <v>0</v>
      </c>
      <c r="AR177" s="183">
        <f t="shared" si="113"/>
        <v>0</v>
      </c>
    </row>
    <row r="178" spans="2:44" x14ac:dyDescent="0.25">
      <c r="B178" s="181" t="s">
        <v>294</v>
      </c>
      <c r="C178" s="182" t="s">
        <v>728</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v>
      </c>
      <c r="F178" s="183">
        <f t="shared" ref="F178:F185" si="114">D178+E178</f>
        <v>25000</v>
      </c>
      <c r="G178" s="183"/>
      <c r="H178" s="183">
        <f t="shared" ref="H178:H185" si="115">F178-G178</f>
        <v>25000</v>
      </c>
      <c r="I178" s="183"/>
      <c r="J178" s="183">
        <f t="shared" ref="J178:J185" si="116">F178-I178</f>
        <v>25000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si="117">AB178+AC178+AD178</f>
        <v>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si="118">AF178+AG178+AH178</f>
        <v>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si="119">AJ178+AK178+AL178</f>
        <v>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120">AN178+AO178+AP178</f>
        <v>25000</v>
      </c>
      <c r="AR178" s="183">
        <f t="shared" ref="AR178:AR185" si="121">AE178+AI178+AM178+AQ178</f>
        <v>25000</v>
      </c>
    </row>
    <row r="179" spans="2:44" x14ac:dyDescent="0.25">
      <c r="B179" s="181" t="s">
        <v>729</v>
      </c>
      <c r="C179" s="182" t="s">
        <v>728</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160000</v>
      </c>
      <c r="F179" s="183">
        <f t="shared" si="114"/>
        <v>160000</v>
      </c>
      <c r="G179" s="183"/>
      <c r="H179" s="183">
        <f t="shared" si="115"/>
        <v>160000</v>
      </c>
      <c r="I179" s="183"/>
      <c r="J179" s="183">
        <f t="shared" si="116"/>
        <v>160000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160000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117"/>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118"/>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160000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119"/>
        <v>160000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120"/>
        <v>0</v>
      </c>
      <c r="AR179" s="183">
        <f t="shared" si="121"/>
        <v>160000</v>
      </c>
    </row>
    <row r="180" spans="2:44" x14ac:dyDescent="0.25">
      <c r="B180" s="181" t="s">
        <v>730</v>
      </c>
      <c r="C180" s="182" t="s">
        <v>731</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114"/>
        <v>0</v>
      </c>
      <c r="G180" s="183"/>
      <c r="H180" s="183">
        <f t="shared" si="115"/>
        <v>0</v>
      </c>
      <c r="I180" s="183"/>
      <c r="J180" s="183">
        <f t="shared" si="116"/>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117"/>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118"/>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119"/>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120"/>
        <v>0</v>
      </c>
      <c r="AR180" s="183">
        <f t="shared" si="121"/>
        <v>0</v>
      </c>
    </row>
    <row r="181" spans="2:44" x14ac:dyDescent="0.25">
      <c r="B181" s="181" t="s">
        <v>732</v>
      </c>
      <c r="C181" s="182" t="s">
        <v>733</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114"/>
        <v>0</v>
      </c>
      <c r="G181" s="183"/>
      <c r="H181" s="183">
        <f t="shared" si="115"/>
        <v>0</v>
      </c>
      <c r="I181" s="183"/>
      <c r="J181" s="183">
        <f t="shared" si="116"/>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117"/>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118"/>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119"/>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120"/>
        <v>0</v>
      </c>
      <c r="AR181" s="183">
        <f t="shared" si="121"/>
        <v>0</v>
      </c>
    </row>
    <row r="182" spans="2:44" x14ac:dyDescent="0.25">
      <c r="B182" s="181" t="s">
        <v>295</v>
      </c>
      <c r="C182" s="182" t="s">
        <v>734</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114"/>
        <v>0</v>
      </c>
      <c r="G182" s="183"/>
      <c r="H182" s="183">
        <f t="shared" si="115"/>
        <v>0</v>
      </c>
      <c r="I182" s="183"/>
      <c r="J182" s="183">
        <f t="shared" si="116"/>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117"/>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118"/>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119"/>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120"/>
        <v>0</v>
      </c>
      <c r="AR182" s="183">
        <f t="shared" si="121"/>
        <v>0</v>
      </c>
    </row>
    <row r="183" spans="2:44" x14ac:dyDescent="0.25">
      <c r="B183" s="181" t="s">
        <v>735</v>
      </c>
      <c r="C183" s="182" t="s">
        <v>734</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114"/>
        <v>0</v>
      </c>
      <c r="G183" s="183"/>
      <c r="H183" s="183">
        <f t="shared" si="115"/>
        <v>0</v>
      </c>
      <c r="I183" s="183"/>
      <c r="J183" s="183">
        <f t="shared" si="116"/>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117"/>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118"/>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119"/>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120"/>
        <v>0</v>
      </c>
      <c r="AR183" s="183">
        <f t="shared" si="121"/>
        <v>0</v>
      </c>
    </row>
    <row r="184" spans="2:44" x14ac:dyDescent="0.25">
      <c r="B184" s="181" t="s">
        <v>736</v>
      </c>
      <c r="C184" s="182" t="s">
        <v>737</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114"/>
        <v>0</v>
      </c>
      <c r="G184" s="183"/>
      <c r="H184" s="183">
        <f t="shared" si="115"/>
        <v>0</v>
      </c>
      <c r="I184" s="183"/>
      <c r="J184" s="183">
        <f t="shared" si="116"/>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117"/>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118"/>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119"/>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120"/>
        <v>0</v>
      </c>
      <c r="AR184" s="183">
        <f t="shared" si="121"/>
        <v>0</v>
      </c>
    </row>
    <row r="185" spans="2:44" x14ac:dyDescent="0.25">
      <c r="B185" s="181" t="s">
        <v>738</v>
      </c>
      <c r="C185" s="182" t="s">
        <v>739</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114"/>
        <v>0</v>
      </c>
      <c r="G185" s="183"/>
      <c r="H185" s="183">
        <f t="shared" si="115"/>
        <v>0</v>
      </c>
      <c r="I185" s="183"/>
      <c r="J185" s="183">
        <f t="shared" si="116"/>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117"/>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118"/>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119"/>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120"/>
        <v>0</v>
      </c>
      <c r="AR185" s="183">
        <f t="shared" si="121"/>
        <v>0</v>
      </c>
    </row>
    <row r="186" spans="2:44" x14ac:dyDescent="0.25">
      <c r="B186" s="181" t="s">
        <v>296</v>
      </c>
      <c r="C186" s="182" t="s">
        <v>740</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217" si="122">D186+E186</f>
        <v>0</v>
      </c>
      <c r="G186" s="183"/>
      <c r="H186" s="183">
        <f t="shared" ref="H186:H199" si="123">F186-G186</f>
        <v>0</v>
      </c>
      <c r="I186" s="183"/>
      <c r="J186" s="183">
        <f t="shared" ref="J186:J199" si="124">F186-I186</f>
        <v>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99" si="125">AB186+AC186+AD186</f>
        <v>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99" si="126">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99" si="127">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99" si="128">AN186+AO186+AP186</f>
        <v>0</v>
      </c>
      <c r="AR186" s="183">
        <f t="shared" ref="AR186:AR199" si="129">AE186+AI186+AM186+AQ186</f>
        <v>0</v>
      </c>
    </row>
    <row r="187" spans="2:44" x14ac:dyDescent="0.25">
      <c r="B187" s="181" t="s">
        <v>741</v>
      </c>
      <c r="C187" s="182" t="s">
        <v>742</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371000</v>
      </c>
      <c r="F187" s="183">
        <f t="shared" si="122"/>
        <v>371000</v>
      </c>
      <c r="G187" s="183"/>
      <c r="H187" s="183">
        <f t="shared" si="123"/>
        <v>371000</v>
      </c>
      <c r="I187" s="183"/>
      <c r="J187" s="183">
        <f t="shared" si="124"/>
        <v>371000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371000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125"/>
        <v>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126"/>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371000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127"/>
        <v>371000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128"/>
        <v>0</v>
      </c>
      <c r="AR187" s="183">
        <f t="shared" si="129"/>
        <v>371000</v>
      </c>
    </row>
    <row r="188" spans="2:44" x14ac:dyDescent="0.25">
      <c r="B188" s="181" t="s">
        <v>743</v>
      </c>
      <c r="C188" s="182" t="s">
        <v>744</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122"/>
        <v>0</v>
      </c>
      <c r="G188" s="183"/>
      <c r="H188" s="183">
        <f t="shared" si="123"/>
        <v>0</v>
      </c>
      <c r="I188" s="183"/>
      <c r="J188" s="183">
        <f t="shared" si="124"/>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125"/>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126"/>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127"/>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128"/>
        <v>0</v>
      </c>
      <c r="AR188" s="183">
        <f t="shared" si="129"/>
        <v>0</v>
      </c>
    </row>
    <row r="189" spans="2:44" x14ac:dyDescent="0.25">
      <c r="B189" s="181" t="s">
        <v>745</v>
      </c>
      <c r="C189" s="182" t="s">
        <v>746</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122"/>
        <v>0</v>
      </c>
      <c r="G189" s="183"/>
      <c r="H189" s="183">
        <f t="shared" si="123"/>
        <v>0</v>
      </c>
      <c r="I189" s="183"/>
      <c r="J189" s="183">
        <f t="shared" si="124"/>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125"/>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126"/>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127"/>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128"/>
        <v>0</v>
      </c>
      <c r="AR189" s="183">
        <f t="shared" si="129"/>
        <v>0</v>
      </c>
    </row>
    <row r="190" spans="2:44" x14ac:dyDescent="0.25">
      <c r="B190" s="190" t="s">
        <v>297</v>
      </c>
      <c r="C190" s="191" t="s">
        <v>177</v>
      </c>
      <c r="D190" s="192">
        <f>D191+D199</f>
        <v>658901.28899999999</v>
      </c>
      <c r="E190" s="192">
        <f>E191+E199</f>
        <v>315050.32224999997</v>
      </c>
      <c r="F190" s="192">
        <f t="shared" si="122"/>
        <v>973951.61124999996</v>
      </c>
      <c r="G190" s="192">
        <f>G191+G199</f>
        <v>0</v>
      </c>
      <c r="H190" s="192">
        <f t="shared" si="123"/>
        <v>973951.61124999996</v>
      </c>
      <c r="I190" s="192">
        <f>I191+I199</f>
        <v>0</v>
      </c>
      <c r="J190" s="192">
        <f t="shared" si="124"/>
        <v>973951.61124999996</v>
      </c>
      <c r="K190" s="192">
        <f>K191+K199</f>
        <v>0</v>
      </c>
      <c r="L190" s="192">
        <f t="shared" ref="L190:AA190" si="130">L191+L199</f>
        <v>0</v>
      </c>
      <c r="M190" s="192">
        <f t="shared" si="130"/>
        <v>0</v>
      </c>
      <c r="N190" s="192">
        <f t="shared" si="130"/>
        <v>0</v>
      </c>
      <c r="O190" s="192">
        <f t="shared" si="130"/>
        <v>0</v>
      </c>
      <c r="P190" s="192">
        <f t="shared" si="130"/>
        <v>0</v>
      </c>
      <c r="Q190" s="192">
        <f t="shared" si="130"/>
        <v>540576.28899999999</v>
      </c>
      <c r="R190" s="192">
        <f t="shared" si="130"/>
        <v>0</v>
      </c>
      <c r="S190" s="192">
        <f t="shared" si="130"/>
        <v>0</v>
      </c>
      <c r="T190" s="192">
        <f t="shared" si="130"/>
        <v>0</v>
      </c>
      <c r="U190" s="192">
        <f t="shared" si="130"/>
        <v>0</v>
      </c>
      <c r="V190" s="192">
        <f t="shared" si="130"/>
        <v>0</v>
      </c>
      <c r="W190" s="192">
        <f t="shared" si="130"/>
        <v>0</v>
      </c>
      <c r="X190" s="192">
        <f t="shared" si="130"/>
        <v>0</v>
      </c>
      <c r="Y190" s="192">
        <f>Y191+Y199</f>
        <v>410625.32224999997</v>
      </c>
      <c r="Z190" s="192">
        <f>Z191+Z199</f>
        <v>0</v>
      </c>
      <c r="AA190" s="192">
        <f t="shared" si="130"/>
        <v>22750</v>
      </c>
      <c r="AB190" s="192">
        <f>AB191+AB199</f>
        <v>0</v>
      </c>
      <c r="AC190" s="192">
        <f>AC191+AC199</f>
        <v>182425</v>
      </c>
      <c r="AD190" s="192">
        <f>AD191+AD199</f>
        <v>107275</v>
      </c>
      <c r="AE190" s="192">
        <f t="shared" si="125"/>
        <v>289700</v>
      </c>
      <c r="AF190" s="192">
        <f>AF191+AF199</f>
        <v>16450</v>
      </c>
      <c r="AG190" s="192">
        <f>AG191+AG199</f>
        <v>48175</v>
      </c>
      <c r="AH190" s="192">
        <f>AH191+AH199</f>
        <v>80175.322249999997</v>
      </c>
      <c r="AI190" s="192">
        <f t="shared" si="126"/>
        <v>144800.32225</v>
      </c>
      <c r="AJ190" s="192">
        <f>AJ191+AJ199</f>
        <v>0</v>
      </c>
      <c r="AK190" s="192">
        <f>AK191+AK199</f>
        <v>321725.64449999999</v>
      </c>
      <c r="AL190" s="192">
        <f>AL191+AL199</f>
        <v>75000</v>
      </c>
      <c r="AM190" s="192">
        <f t="shared" si="127"/>
        <v>396725.64449999999</v>
      </c>
      <c r="AN190" s="192">
        <f>AN191+AN199</f>
        <v>121975.64449999999</v>
      </c>
      <c r="AO190" s="192">
        <f>AO191+AO199</f>
        <v>20750</v>
      </c>
      <c r="AP190" s="192">
        <f>AP191+AP199</f>
        <v>0</v>
      </c>
      <c r="AQ190" s="192">
        <f t="shared" si="128"/>
        <v>142725.64449999999</v>
      </c>
      <c r="AR190" s="192">
        <f t="shared" si="129"/>
        <v>973951.61124999984</v>
      </c>
    </row>
    <row r="191" spans="2:44" x14ac:dyDescent="0.25">
      <c r="B191" s="190" t="s">
        <v>298</v>
      </c>
      <c r="C191" s="191" t="s">
        <v>178</v>
      </c>
      <c r="D191" s="192">
        <f>SUM(D192:D198)</f>
        <v>138200</v>
      </c>
      <c r="E191" s="192">
        <f>SUM(E192:E198)</f>
        <v>165000</v>
      </c>
      <c r="F191" s="192">
        <f t="shared" si="122"/>
        <v>303200</v>
      </c>
      <c r="G191" s="192">
        <f>SUM(G192:G198)</f>
        <v>0</v>
      </c>
      <c r="H191" s="192">
        <f t="shared" si="123"/>
        <v>303200</v>
      </c>
      <c r="I191" s="192">
        <f>SUM(I192:I198)</f>
        <v>0</v>
      </c>
      <c r="J191" s="192">
        <f t="shared" si="124"/>
        <v>303200</v>
      </c>
      <c r="K191" s="192">
        <f t="shared" ref="K191:AD191" si="131">SUM(K192:K198)</f>
        <v>0</v>
      </c>
      <c r="L191" s="192">
        <f t="shared" si="131"/>
        <v>0</v>
      </c>
      <c r="M191" s="192">
        <f t="shared" si="131"/>
        <v>0</v>
      </c>
      <c r="N191" s="192">
        <f t="shared" si="131"/>
        <v>0</v>
      </c>
      <c r="O191" s="192">
        <f t="shared" si="131"/>
        <v>0</v>
      </c>
      <c r="P191" s="192">
        <f>SUM(P192:P198)</f>
        <v>0</v>
      </c>
      <c r="Q191" s="192">
        <f>SUM(Q192:Q198)</f>
        <v>75000</v>
      </c>
      <c r="R191" s="192">
        <f t="shared" si="131"/>
        <v>0</v>
      </c>
      <c r="S191" s="192">
        <f t="shared" si="131"/>
        <v>0</v>
      </c>
      <c r="T191" s="192">
        <f>SUM(T192:T198)</f>
        <v>0</v>
      </c>
      <c r="U191" s="192">
        <f t="shared" si="131"/>
        <v>0</v>
      </c>
      <c r="V191" s="192">
        <f t="shared" si="131"/>
        <v>0</v>
      </c>
      <c r="W191" s="192">
        <f>SUM(W192:W198)</f>
        <v>0</v>
      </c>
      <c r="X191" s="192">
        <f t="shared" si="131"/>
        <v>0</v>
      </c>
      <c r="Y191" s="192">
        <f>SUM(Y192:Y198)</f>
        <v>226200</v>
      </c>
      <c r="Z191" s="192">
        <f>SUM(Z192:Z198)</f>
        <v>0</v>
      </c>
      <c r="AA191" s="192">
        <f t="shared" si="131"/>
        <v>2000</v>
      </c>
      <c r="AB191" s="192">
        <f t="shared" si="131"/>
        <v>0</v>
      </c>
      <c r="AC191" s="192">
        <f t="shared" si="131"/>
        <v>46800</v>
      </c>
      <c r="AD191" s="192">
        <f t="shared" si="131"/>
        <v>10400</v>
      </c>
      <c r="AE191" s="192">
        <f t="shared" si="125"/>
        <v>57200</v>
      </c>
      <c r="AF191" s="192">
        <f>SUM(AF192:AF198)</f>
        <v>0</v>
      </c>
      <c r="AG191" s="192">
        <f>SUM(AG192:AG198)</f>
        <v>0</v>
      </c>
      <c r="AH191" s="192">
        <f>SUM(AH192:AH198)</f>
        <v>31000</v>
      </c>
      <c r="AI191" s="192">
        <f t="shared" si="126"/>
        <v>31000</v>
      </c>
      <c r="AJ191" s="192">
        <f>SUM(AJ192:AJ198)</f>
        <v>0</v>
      </c>
      <c r="AK191" s="192">
        <f>SUM(AK192:AK198)</f>
        <v>140000</v>
      </c>
      <c r="AL191" s="192">
        <f>SUM(AL192:AL198)</f>
        <v>75000</v>
      </c>
      <c r="AM191" s="192">
        <f t="shared" si="127"/>
        <v>215000</v>
      </c>
      <c r="AN191" s="192">
        <f>SUM(AN192:AN198)</f>
        <v>0</v>
      </c>
      <c r="AO191" s="192">
        <f>SUM(AO192:AO198)</f>
        <v>0</v>
      </c>
      <c r="AP191" s="192">
        <f>SUM(AP192:AP198)</f>
        <v>0</v>
      </c>
      <c r="AQ191" s="192">
        <f t="shared" si="128"/>
        <v>0</v>
      </c>
      <c r="AR191" s="192">
        <f t="shared" si="129"/>
        <v>303200</v>
      </c>
    </row>
    <row r="192" spans="2:44" x14ac:dyDescent="0.25">
      <c r="B192" s="181" t="s">
        <v>304</v>
      </c>
      <c r="C192" s="182" t="s">
        <v>184</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12400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si="122"/>
        <v>12400</v>
      </c>
      <c r="G192" s="183"/>
      <c r="H192" s="183">
        <f t="shared" si="123"/>
        <v>12400</v>
      </c>
      <c r="I192" s="183"/>
      <c r="J192" s="183">
        <f t="shared" si="124"/>
        <v>12400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10400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10400</v>
      </c>
      <c r="AE192" s="183">
        <f t="shared" si="125"/>
        <v>12400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 t="shared" si="126"/>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 t="shared" si="127"/>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 t="shared" si="128"/>
        <v>0</v>
      </c>
      <c r="AR192" s="183">
        <f t="shared" si="129"/>
        <v>12400</v>
      </c>
    </row>
    <row r="193" spans="2:44" x14ac:dyDescent="0.25">
      <c r="B193" s="181" t="s">
        <v>747</v>
      </c>
      <c r="C193" s="182" t="s">
        <v>748</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50800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si="122"/>
        <v>50800</v>
      </c>
      <c r="G193" s="183"/>
      <c r="H193" s="183">
        <f t="shared" si="123"/>
        <v>50800</v>
      </c>
      <c r="I193" s="183"/>
      <c r="J193" s="183">
        <f t="shared" si="124"/>
        <v>50800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50800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44800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si="125"/>
        <v>44800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I193" s="183">
        <f t="shared" si="126"/>
        <v>6000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si="127"/>
        <v>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si="128"/>
        <v>0</v>
      </c>
      <c r="AR193" s="183">
        <f t="shared" si="129"/>
        <v>50800</v>
      </c>
    </row>
    <row r="194" spans="2:44" x14ac:dyDescent="0.25">
      <c r="B194" s="181" t="s">
        <v>749</v>
      </c>
      <c r="C194" s="182" t="s">
        <v>750</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122"/>
        <v>0</v>
      </c>
      <c r="G194" s="183"/>
      <c r="H194" s="183">
        <f t="shared" si="123"/>
        <v>0</v>
      </c>
      <c r="I194" s="183"/>
      <c r="J194" s="183">
        <f t="shared" si="124"/>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 t="shared" si="125"/>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 t="shared" si="126"/>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 t="shared" si="127"/>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 t="shared" si="128"/>
        <v>0</v>
      </c>
      <c r="AR194" s="183">
        <f t="shared" si="129"/>
        <v>0</v>
      </c>
    </row>
    <row r="195" spans="2:44" x14ac:dyDescent="0.25">
      <c r="B195" s="181" t="s">
        <v>751</v>
      </c>
      <c r="C195" s="182" t="s">
        <v>752</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 t="shared" si="122"/>
        <v>0</v>
      </c>
      <c r="G195" s="183"/>
      <c r="H195" s="183">
        <f t="shared" si="123"/>
        <v>0</v>
      </c>
      <c r="I195" s="183"/>
      <c r="J195" s="183">
        <f t="shared" si="124"/>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si="125"/>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si="126"/>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si="127"/>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si="128"/>
        <v>0</v>
      </c>
      <c r="AR195" s="183">
        <f t="shared" si="129"/>
        <v>0</v>
      </c>
    </row>
    <row r="196" spans="2:44" x14ac:dyDescent="0.25">
      <c r="B196" s="181" t="s">
        <v>753</v>
      </c>
      <c r="C196" s="182" t="s">
        <v>754</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75000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165000</v>
      </c>
      <c r="F196" s="183">
        <f t="shared" si="122"/>
        <v>240000</v>
      </c>
      <c r="G196" s="183"/>
      <c r="H196" s="183">
        <f t="shared" si="123"/>
        <v>240000</v>
      </c>
      <c r="I196" s="183"/>
      <c r="J196" s="183">
        <f t="shared" si="124"/>
        <v>240000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75000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165000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125"/>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25000</v>
      </c>
      <c r="AI196" s="183">
        <f t="shared" si="126"/>
        <v>25000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140000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75000</v>
      </c>
      <c r="AM196" s="183">
        <f t="shared" si="127"/>
        <v>215000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128"/>
        <v>0</v>
      </c>
      <c r="AR196" s="183">
        <f t="shared" si="129"/>
        <v>240000</v>
      </c>
    </row>
    <row r="197" spans="2:44" x14ac:dyDescent="0.25">
      <c r="B197" s="181" t="s">
        <v>755</v>
      </c>
      <c r="C197" s="182" t="s">
        <v>756</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si="122"/>
        <v>0</v>
      </c>
      <c r="G197" s="183"/>
      <c r="H197" s="183">
        <f t="shared" si="123"/>
        <v>0</v>
      </c>
      <c r="I197" s="183"/>
      <c r="J197" s="183">
        <f t="shared" si="124"/>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 t="shared" si="125"/>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 t="shared" si="126"/>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 t="shared" si="127"/>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 t="shared" si="128"/>
        <v>0</v>
      </c>
      <c r="AR197" s="183">
        <f t="shared" si="129"/>
        <v>0</v>
      </c>
    </row>
    <row r="198" spans="2:44" x14ac:dyDescent="0.25">
      <c r="B198" s="181" t="s">
        <v>757</v>
      </c>
      <c r="C198" s="182" t="s">
        <v>758</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 t="shared" si="122"/>
        <v>0</v>
      </c>
      <c r="G198" s="183"/>
      <c r="H198" s="183">
        <f t="shared" si="123"/>
        <v>0</v>
      </c>
      <c r="I198" s="183"/>
      <c r="J198" s="183">
        <f t="shared" si="124"/>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si="125"/>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si="126"/>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si="127"/>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si="128"/>
        <v>0</v>
      </c>
      <c r="AR198" s="183">
        <f t="shared" si="129"/>
        <v>0</v>
      </c>
    </row>
    <row r="199" spans="2:44" x14ac:dyDescent="0.25">
      <c r="B199" s="190" t="s">
        <v>299</v>
      </c>
      <c r="C199" s="191" t="s">
        <v>179</v>
      </c>
      <c r="D199" s="192">
        <f>SUM(D200:D206)</f>
        <v>520701.28899999999</v>
      </c>
      <c r="E199" s="192">
        <f>SUM(E200:E206)</f>
        <v>150050.32225</v>
      </c>
      <c r="F199" s="192">
        <f t="shared" si="122"/>
        <v>670751.61124999996</v>
      </c>
      <c r="G199" s="192">
        <f>SUM(G200:G206)</f>
        <v>0</v>
      </c>
      <c r="H199" s="192">
        <f t="shared" si="123"/>
        <v>670751.61124999996</v>
      </c>
      <c r="I199" s="192">
        <f>SUM(I200:I206)</f>
        <v>0</v>
      </c>
      <c r="J199" s="192">
        <f t="shared" si="124"/>
        <v>670751.61124999996</v>
      </c>
      <c r="K199" s="192">
        <f t="shared" ref="K199:AP199" si="132">SUM(K200:K206)</f>
        <v>0</v>
      </c>
      <c r="L199" s="192">
        <f t="shared" si="132"/>
        <v>0</v>
      </c>
      <c r="M199" s="192">
        <f t="shared" si="132"/>
        <v>0</v>
      </c>
      <c r="N199" s="192">
        <f t="shared" si="132"/>
        <v>0</v>
      </c>
      <c r="O199" s="192">
        <f t="shared" si="132"/>
        <v>0</v>
      </c>
      <c r="P199" s="192">
        <f>SUM(P200:P206)</f>
        <v>0</v>
      </c>
      <c r="Q199" s="192">
        <f>SUM(Q200:Q206)</f>
        <v>465576.28899999999</v>
      </c>
      <c r="R199" s="192">
        <f t="shared" si="132"/>
        <v>0</v>
      </c>
      <c r="S199" s="192">
        <f t="shared" si="132"/>
        <v>0</v>
      </c>
      <c r="T199" s="192">
        <f>SUM(T200:T206)</f>
        <v>0</v>
      </c>
      <c r="U199" s="192">
        <f t="shared" si="132"/>
        <v>0</v>
      </c>
      <c r="V199" s="192">
        <f t="shared" si="132"/>
        <v>0</v>
      </c>
      <c r="W199" s="192">
        <f>SUM(W200:W206)</f>
        <v>0</v>
      </c>
      <c r="X199" s="192">
        <f t="shared" si="132"/>
        <v>0</v>
      </c>
      <c r="Y199" s="192">
        <f>SUM(Y200:Y206)</f>
        <v>184425.32225</v>
      </c>
      <c r="Z199" s="192">
        <f>SUM(Z200:Z206)</f>
        <v>0</v>
      </c>
      <c r="AA199" s="192">
        <f t="shared" si="132"/>
        <v>20750</v>
      </c>
      <c r="AB199" s="192">
        <f t="shared" si="132"/>
        <v>0</v>
      </c>
      <c r="AC199" s="192">
        <f t="shared" si="132"/>
        <v>135625</v>
      </c>
      <c r="AD199" s="192">
        <f t="shared" si="132"/>
        <v>96875</v>
      </c>
      <c r="AE199" s="192">
        <f t="shared" si="125"/>
        <v>232500</v>
      </c>
      <c r="AF199" s="192">
        <f t="shared" si="132"/>
        <v>16450</v>
      </c>
      <c r="AG199" s="192">
        <f t="shared" si="132"/>
        <v>48175</v>
      </c>
      <c r="AH199" s="192">
        <f t="shared" si="132"/>
        <v>49175.322249999997</v>
      </c>
      <c r="AI199" s="192">
        <f t="shared" si="126"/>
        <v>113800.32225</v>
      </c>
      <c r="AJ199" s="192">
        <f t="shared" si="132"/>
        <v>0</v>
      </c>
      <c r="AK199" s="192">
        <f t="shared" si="132"/>
        <v>181725.64449999999</v>
      </c>
      <c r="AL199" s="192">
        <f t="shared" si="132"/>
        <v>0</v>
      </c>
      <c r="AM199" s="192">
        <f t="shared" si="127"/>
        <v>181725.64449999999</v>
      </c>
      <c r="AN199" s="192">
        <f t="shared" si="132"/>
        <v>121975.64449999999</v>
      </c>
      <c r="AO199" s="192">
        <f t="shared" si="132"/>
        <v>20750</v>
      </c>
      <c r="AP199" s="192">
        <f t="shared" si="132"/>
        <v>0</v>
      </c>
      <c r="AQ199" s="192">
        <f t="shared" si="128"/>
        <v>142725.64449999999</v>
      </c>
      <c r="AR199" s="192">
        <f t="shared" si="129"/>
        <v>670751.61124999984</v>
      </c>
    </row>
    <row r="200" spans="2:44" x14ac:dyDescent="0.25">
      <c r="B200" s="181" t="s">
        <v>305</v>
      </c>
      <c r="C200" s="182" t="s">
        <v>185</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 t="shared" si="122"/>
        <v>0</v>
      </c>
      <c r="G200" s="183"/>
      <c r="H200" s="183">
        <f t="shared" ref="H200:H206" si="133">F200-G200</f>
        <v>0</v>
      </c>
      <c r="I200" s="183"/>
      <c r="J200" s="183">
        <f t="shared" ref="J200:J206" si="134">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135">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136">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137">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138">AN200+AO200+AP200</f>
        <v>0</v>
      </c>
      <c r="AR200" s="183">
        <f t="shared" ref="AR200:AR206" si="139">AE200+AI200+AM200+AQ200</f>
        <v>0</v>
      </c>
    </row>
    <row r="201" spans="2:44" x14ac:dyDescent="0.25">
      <c r="B201" s="181" t="s">
        <v>759</v>
      </c>
      <c r="C201" s="182" t="s">
        <v>760</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394000</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118375</v>
      </c>
      <c r="F201" s="183">
        <f t="shared" si="122"/>
        <v>512375</v>
      </c>
      <c r="G201" s="183"/>
      <c r="H201" s="183">
        <f t="shared" si="133"/>
        <v>512375</v>
      </c>
      <c r="I201" s="183"/>
      <c r="J201" s="183">
        <f t="shared" si="134"/>
        <v>512375</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338875</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152750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20750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135625</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96875</v>
      </c>
      <c r="AE201" s="183">
        <f t="shared" si="135"/>
        <v>232500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16450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48175</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17500</v>
      </c>
      <c r="AI201" s="183">
        <f t="shared" si="136"/>
        <v>82125</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118375</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si="137"/>
        <v>118375</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58625</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20750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138"/>
        <v>79375</v>
      </c>
      <c r="AR201" s="183">
        <f t="shared" si="139"/>
        <v>512375</v>
      </c>
    </row>
    <row r="202" spans="2:44" x14ac:dyDescent="0.25">
      <c r="B202" s="181" t="s">
        <v>761</v>
      </c>
      <c r="C202" s="182" t="s">
        <v>760</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si="122"/>
        <v>0</v>
      </c>
      <c r="G202" s="183"/>
      <c r="H202" s="183">
        <f>F202-G202</f>
        <v>0</v>
      </c>
      <c r="I202" s="183"/>
      <c r="J202" s="183">
        <f>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AN202+AO202+AP202</f>
        <v>0</v>
      </c>
      <c r="AR202" s="183">
        <f>AE202+AI202+AM202+AQ202</f>
        <v>0</v>
      </c>
    </row>
    <row r="203" spans="2:44" x14ac:dyDescent="0.25">
      <c r="B203" s="181" t="s">
        <v>762</v>
      </c>
      <c r="C203" s="182" t="s">
        <v>763</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122"/>
        <v>0</v>
      </c>
      <c r="G203" s="183"/>
      <c r="H203" s="183">
        <f>F203-G203</f>
        <v>0</v>
      </c>
      <c r="I203" s="183"/>
      <c r="J203" s="183">
        <f>F203-I203</f>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AB203+AC203+AD203</f>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AF203+AG203+AH203</f>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AJ203+AK203+AL203</f>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AN203+AO203+AP203</f>
        <v>0</v>
      </c>
      <c r="AR203" s="183">
        <f>AE203+AI203+AM203+AQ203</f>
        <v>0</v>
      </c>
    </row>
    <row r="204" spans="2:44" x14ac:dyDescent="0.25">
      <c r="B204" s="181" t="s">
        <v>306</v>
      </c>
      <c r="C204" s="182" t="s">
        <v>764</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122"/>
        <v>0</v>
      </c>
      <c r="G204" s="183"/>
      <c r="H204" s="183">
        <f>F204-G204</f>
        <v>0</v>
      </c>
      <c r="I204" s="183"/>
      <c r="J204" s="183">
        <f>F204-I204</f>
        <v>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AB204+AC204+AD204</f>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AF204+AG204+AH204</f>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AJ204+AK204+AL204</f>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AN204+AO204+AP204</f>
        <v>0</v>
      </c>
      <c r="AR204" s="183">
        <f>AE204+AI204+AM204+AQ204</f>
        <v>0</v>
      </c>
    </row>
    <row r="205" spans="2:44" x14ac:dyDescent="0.25">
      <c r="B205" s="181" t="s">
        <v>765</v>
      </c>
      <c r="C205" s="182" t="s">
        <v>764</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126701.289</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31675.322250000001</v>
      </c>
      <c r="F205" s="183">
        <f t="shared" si="122"/>
        <v>158376.61125000002</v>
      </c>
      <c r="G205" s="183"/>
      <c r="H205" s="183">
        <f>F205-G205</f>
        <v>158376.61125000002</v>
      </c>
      <c r="I205" s="183"/>
      <c r="J205" s="183">
        <f>F205-I205</f>
        <v>158376.61125000002</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126701.289</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31675.322250000001</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31675.322250000001</v>
      </c>
      <c r="AI205" s="183">
        <f>AF205+AG205+AH205</f>
        <v>31675.322250000001</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63350.644500000002</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AJ205+AK205+AL205</f>
        <v>63350.644500000002</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63350.644500000002</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AN205+AO205+AP205</f>
        <v>63350.644500000002</v>
      </c>
      <c r="AR205" s="183">
        <f>AE205+AI205+AM205+AQ205</f>
        <v>158376.61125000002</v>
      </c>
    </row>
    <row r="206" spans="2:44" x14ac:dyDescent="0.25">
      <c r="B206" s="181" t="s">
        <v>766</v>
      </c>
      <c r="C206" s="182" t="s">
        <v>767</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 t="shared" si="122"/>
        <v>0</v>
      </c>
      <c r="G206" s="183"/>
      <c r="H206" s="183">
        <f t="shared" si="133"/>
        <v>0</v>
      </c>
      <c r="I206" s="183"/>
      <c r="J206" s="183">
        <f t="shared" si="134"/>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135"/>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136"/>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137"/>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138"/>
        <v>0</v>
      </c>
      <c r="AR206" s="183">
        <f t="shared" si="139"/>
        <v>0</v>
      </c>
    </row>
    <row r="207" spans="2:44" x14ac:dyDescent="0.25">
      <c r="B207" s="190" t="s">
        <v>300</v>
      </c>
      <c r="C207" s="191" t="s">
        <v>180</v>
      </c>
      <c r="D207" s="192">
        <f>SUM(D208:D213)</f>
        <v>0</v>
      </c>
      <c r="E207" s="192">
        <f>SUM(E208:E213)</f>
        <v>0</v>
      </c>
      <c r="F207" s="192">
        <f t="shared" si="122"/>
        <v>0</v>
      </c>
      <c r="G207" s="192">
        <f>SUM(G208:G213)</f>
        <v>0</v>
      </c>
      <c r="H207" s="192">
        <f t="shared" ref="H207:H244" si="140">F207-G207</f>
        <v>0</v>
      </c>
      <c r="I207" s="192">
        <f>SUM(I208:I213)</f>
        <v>0</v>
      </c>
      <c r="J207" s="192">
        <f t="shared" ref="J207:J244" si="141">F207-I207</f>
        <v>0</v>
      </c>
      <c r="K207" s="192">
        <f t="shared" ref="K207:AD207" si="142">SUM(K208:K213)</f>
        <v>0</v>
      </c>
      <c r="L207" s="192">
        <f t="shared" si="142"/>
        <v>0</v>
      </c>
      <c r="M207" s="192">
        <f t="shared" si="142"/>
        <v>0</v>
      </c>
      <c r="N207" s="192">
        <f t="shared" si="142"/>
        <v>0</v>
      </c>
      <c r="O207" s="192">
        <f t="shared" si="142"/>
        <v>0</v>
      </c>
      <c r="P207" s="192">
        <f>SUM(P208:P213)</f>
        <v>0</v>
      </c>
      <c r="Q207" s="192">
        <f>SUM(Q208:Q213)</f>
        <v>0</v>
      </c>
      <c r="R207" s="192">
        <f t="shared" si="142"/>
        <v>0</v>
      </c>
      <c r="S207" s="192">
        <f t="shared" si="142"/>
        <v>0</v>
      </c>
      <c r="T207" s="192">
        <f>SUM(T208:T213)</f>
        <v>0</v>
      </c>
      <c r="U207" s="192">
        <f t="shared" si="142"/>
        <v>0</v>
      </c>
      <c r="V207" s="192">
        <f t="shared" si="142"/>
        <v>0</v>
      </c>
      <c r="W207" s="192">
        <f>SUM(W208:W213)</f>
        <v>0</v>
      </c>
      <c r="X207" s="192">
        <f t="shared" si="142"/>
        <v>0</v>
      </c>
      <c r="Y207" s="192">
        <f>SUM(Y208:Y213)</f>
        <v>0</v>
      </c>
      <c r="Z207" s="192">
        <f>SUM(Z208:Z213)</f>
        <v>0</v>
      </c>
      <c r="AA207" s="192">
        <f t="shared" si="142"/>
        <v>0</v>
      </c>
      <c r="AB207" s="192">
        <f t="shared" si="142"/>
        <v>0</v>
      </c>
      <c r="AC207" s="192">
        <f t="shared" si="142"/>
        <v>0</v>
      </c>
      <c r="AD207" s="192">
        <f t="shared" si="142"/>
        <v>0</v>
      </c>
      <c r="AE207" s="192">
        <f t="shared" ref="AE207:AE244" si="143">AB207+AC207+AD207</f>
        <v>0</v>
      </c>
      <c r="AF207" s="192">
        <f>SUM(AF208:AF213)</f>
        <v>0</v>
      </c>
      <c r="AG207" s="192">
        <f>SUM(AG208:AG213)</f>
        <v>0</v>
      </c>
      <c r="AH207" s="192">
        <f>SUM(AH208:AH213)</f>
        <v>0</v>
      </c>
      <c r="AI207" s="192">
        <f t="shared" ref="AI207:AI244" si="144">AF207+AG207+AH207</f>
        <v>0</v>
      </c>
      <c r="AJ207" s="192">
        <f>SUM(AJ208:AJ213)</f>
        <v>0</v>
      </c>
      <c r="AK207" s="192">
        <f>SUM(AK208:AK213)</f>
        <v>0</v>
      </c>
      <c r="AL207" s="192">
        <f>SUM(AL208:AL213)</f>
        <v>0</v>
      </c>
      <c r="AM207" s="192">
        <f t="shared" ref="AM207:AM244" si="145">AJ207+AK207+AL207</f>
        <v>0</v>
      </c>
      <c r="AN207" s="192">
        <f>SUM(AN208:AN213)</f>
        <v>0</v>
      </c>
      <c r="AO207" s="192">
        <f>SUM(AO208:AO213)</f>
        <v>0</v>
      </c>
      <c r="AP207" s="192">
        <f>SUM(AP208:AP213)</f>
        <v>0</v>
      </c>
      <c r="AQ207" s="192">
        <f t="shared" ref="AQ207:AQ244" si="146">AN207+AO207+AP207</f>
        <v>0</v>
      </c>
      <c r="AR207" s="192">
        <f t="shared" ref="AR207:AR244" si="147">AE207+AI207+AM207+AQ207</f>
        <v>0</v>
      </c>
    </row>
    <row r="208" spans="2:44" x14ac:dyDescent="0.25">
      <c r="B208" s="181" t="s">
        <v>301</v>
      </c>
      <c r="C208" s="182" t="s">
        <v>181</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122"/>
        <v>0</v>
      </c>
      <c r="G208" s="183"/>
      <c r="H208" s="183">
        <f t="shared" si="140"/>
        <v>0</v>
      </c>
      <c r="I208" s="183"/>
      <c r="J208" s="183">
        <f t="shared" si="141"/>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si="143"/>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si="144"/>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si="145"/>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si="146"/>
        <v>0</v>
      </c>
      <c r="AR208" s="183">
        <f t="shared" si="147"/>
        <v>0</v>
      </c>
    </row>
    <row r="209" spans="2:44" x14ac:dyDescent="0.25">
      <c r="B209" s="181" t="s">
        <v>768</v>
      </c>
      <c r="C209" s="182" t="s">
        <v>769</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si="122"/>
        <v>0</v>
      </c>
      <c r="G209" s="183"/>
      <c r="H209" s="183">
        <f t="shared" si="140"/>
        <v>0</v>
      </c>
      <c r="I209" s="183"/>
      <c r="J209" s="183">
        <f t="shared" si="141"/>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143"/>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144"/>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145"/>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146"/>
        <v>0</v>
      </c>
      <c r="AR209" s="183">
        <f t="shared" si="147"/>
        <v>0</v>
      </c>
    </row>
    <row r="210" spans="2:44" x14ac:dyDescent="0.25">
      <c r="B210" s="181" t="s">
        <v>770</v>
      </c>
      <c r="C210" s="182" t="s">
        <v>771</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122"/>
        <v>0</v>
      </c>
      <c r="G210" s="183"/>
      <c r="H210" s="183">
        <f t="shared" si="140"/>
        <v>0</v>
      </c>
      <c r="I210" s="183"/>
      <c r="J210" s="183">
        <f t="shared" si="141"/>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si="143"/>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si="144"/>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si="145"/>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si="146"/>
        <v>0</v>
      </c>
      <c r="AR210" s="183">
        <f t="shared" si="147"/>
        <v>0</v>
      </c>
    </row>
    <row r="211" spans="2:44" x14ac:dyDescent="0.25">
      <c r="B211" s="181" t="s">
        <v>772</v>
      </c>
      <c r="C211" s="182" t="s">
        <v>773</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si="122"/>
        <v>0</v>
      </c>
      <c r="G211" s="183"/>
      <c r="H211" s="183">
        <f t="shared" si="140"/>
        <v>0</v>
      </c>
      <c r="I211" s="183"/>
      <c r="J211" s="183">
        <f t="shared" si="141"/>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143"/>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144"/>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145"/>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146"/>
        <v>0</v>
      </c>
      <c r="AR211" s="183">
        <f t="shared" si="147"/>
        <v>0</v>
      </c>
    </row>
    <row r="212" spans="2:44" x14ac:dyDescent="0.25">
      <c r="B212" s="181" t="s">
        <v>774</v>
      </c>
      <c r="C212" s="182" t="s">
        <v>775</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si="122"/>
        <v>0</v>
      </c>
      <c r="G212" s="183"/>
      <c r="H212" s="183">
        <f t="shared" si="140"/>
        <v>0</v>
      </c>
      <c r="I212" s="183"/>
      <c r="J212" s="183">
        <f t="shared" si="141"/>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143"/>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44"/>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45"/>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46"/>
        <v>0</v>
      </c>
      <c r="AR212" s="183">
        <f t="shared" si="147"/>
        <v>0</v>
      </c>
    </row>
    <row r="213" spans="2:44" x14ac:dyDescent="0.25">
      <c r="B213" s="181" t="s">
        <v>776</v>
      </c>
      <c r="C213" s="182" t="s">
        <v>777</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122"/>
        <v>0</v>
      </c>
      <c r="G213" s="183"/>
      <c r="H213" s="183">
        <f t="shared" si="140"/>
        <v>0</v>
      </c>
      <c r="I213" s="183"/>
      <c r="J213" s="183">
        <f t="shared" si="141"/>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si="143"/>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si="144"/>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si="145"/>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si="146"/>
        <v>0</v>
      </c>
      <c r="AR213" s="183">
        <f t="shared" si="147"/>
        <v>0</v>
      </c>
    </row>
    <row r="214" spans="2:44" x14ac:dyDescent="0.25">
      <c r="B214" s="190" t="s">
        <v>302</v>
      </c>
      <c r="C214" s="191" t="s">
        <v>182</v>
      </c>
      <c r="D214" s="192">
        <f>SUM(D215:D221)</f>
        <v>0</v>
      </c>
      <c r="E214" s="192">
        <f>SUM(E215:E221)</f>
        <v>0</v>
      </c>
      <c r="F214" s="192">
        <f t="shared" si="122"/>
        <v>0</v>
      </c>
      <c r="G214" s="192">
        <f>SUM(G215:G221)</f>
        <v>0</v>
      </c>
      <c r="H214" s="192">
        <f t="shared" si="140"/>
        <v>0</v>
      </c>
      <c r="I214" s="192">
        <f>SUM(I215:I221)</f>
        <v>0</v>
      </c>
      <c r="J214" s="192">
        <f t="shared" si="141"/>
        <v>0</v>
      </c>
      <c r="K214" s="192">
        <f t="shared" ref="K214:AD214" si="148">SUM(K215:K221)</f>
        <v>0</v>
      </c>
      <c r="L214" s="192">
        <f t="shared" si="148"/>
        <v>0</v>
      </c>
      <c r="M214" s="192">
        <f t="shared" si="148"/>
        <v>0</v>
      </c>
      <c r="N214" s="192">
        <f t="shared" si="148"/>
        <v>0</v>
      </c>
      <c r="O214" s="192">
        <f t="shared" si="148"/>
        <v>0</v>
      </c>
      <c r="P214" s="192">
        <f>SUM(P215:P221)</f>
        <v>0</v>
      </c>
      <c r="Q214" s="192">
        <f>SUM(Q215:Q221)</f>
        <v>0</v>
      </c>
      <c r="R214" s="192">
        <f t="shared" si="148"/>
        <v>0</v>
      </c>
      <c r="S214" s="192">
        <f t="shared" si="148"/>
        <v>0</v>
      </c>
      <c r="T214" s="192">
        <f>SUM(T215:T221)</f>
        <v>0</v>
      </c>
      <c r="U214" s="192">
        <f t="shared" si="148"/>
        <v>0</v>
      </c>
      <c r="V214" s="192">
        <f t="shared" si="148"/>
        <v>0</v>
      </c>
      <c r="W214" s="192">
        <f>SUM(W215:W221)</f>
        <v>0</v>
      </c>
      <c r="X214" s="192">
        <f t="shared" si="148"/>
        <v>0</v>
      </c>
      <c r="Y214" s="192">
        <f>SUM(Y215:Y221)</f>
        <v>0</v>
      </c>
      <c r="Z214" s="192">
        <f>SUM(Z215:Z221)</f>
        <v>0</v>
      </c>
      <c r="AA214" s="192">
        <f t="shared" si="148"/>
        <v>0</v>
      </c>
      <c r="AB214" s="192">
        <f t="shared" si="148"/>
        <v>0</v>
      </c>
      <c r="AC214" s="192">
        <f t="shared" si="148"/>
        <v>0</v>
      </c>
      <c r="AD214" s="192">
        <f t="shared" si="148"/>
        <v>0</v>
      </c>
      <c r="AE214" s="192">
        <f t="shared" si="143"/>
        <v>0</v>
      </c>
      <c r="AF214" s="192">
        <f>SUM(AF215:AF221)</f>
        <v>0</v>
      </c>
      <c r="AG214" s="192">
        <f>SUM(AG215:AG221)</f>
        <v>0</v>
      </c>
      <c r="AH214" s="192">
        <f>SUM(AH215:AH221)</f>
        <v>0</v>
      </c>
      <c r="AI214" s="192">
        <f t="shared" si="144"/>
        <v>0</v>
      </c>
      <c r="AJ214" s="192">
        <f>SUM(AJ215:AJ221)</f>
        <v>0</v>
      </c>
      <c r="AK214" s="192">
        <f>SUM(AK215:AK221)</f>
        <v>0</v>
      </c>
      <c r="AL214" s="192">
        <f>SUM(AL215:AL221)</f>
        <v>0</v>
      </c>
      <c r="AM214" s="192">
        <f t="shared" si="145"/>
        <v>0</v>
      </c>
      <c r="AN214" s="192">
        <f>SUM(AN215:AN221)</f>
        <v>0</v>
      </c>
      <c r="AO214" s="192">
        <f>SUM(AO215:AO221)</f>
        <v>0</v>
      </c>
      <c r="AP214" s="192">
        <f>SUM(AP215:AP221)</f>
        <v>0</v>
      </c>
      <c r="AQ214" s="192">
        <f t="shared" si="146"/>
        <v>0</v>
      </c>
      <c r="AR214" s="192">
        <f t="shared" si="147"/>
        <v>0</v>
      </c>
    </row>
    <row r="215" spans="2:44" x14ac:dyDescent="0.25">
      <c r="B215" s="181" t="s">
        <v>303</v>
      </c>
      <c r="C215" s="182" t="s">
        <v>183</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si="122"/>
        <v>0</v>
      </c>
      <c r="G215" s="183"/>
      <c r="H215" s="183">
        <f t="shared" si="140"/>
        <v>0</v>
      </c>
      <c r="I215" s="183"/>
      <c r="J215" s="183">
        <f t="shared" si="141"/>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143"/>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44"/>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45"/>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46"/>
        <v>0</v>
      </c>
      <c r="AR215" s="183">
        <f t="shared" si="147"/>
        <v>0</v>
      </c>
    </row>
    <row r="216" spans="2:44" x14ac:dyDescent="0.25">
      <c r="B216" s="181" t="s">
        <v>778</v>
      </c>
      <c r="C216" s="182" t="s">
        <v>779</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122"/>
        <v>0</v>
      </c>
      <c r="G216" s="183"/>
      <c r="H216" s="183">
        <f t="shared" si="140"/>
        <v>0</v>
      </c>
      <c r="I216" s="183"/>
      <c r="J216" s="183">
        <f t="shared" si="141"/>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143"/>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44"/>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45"/>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46"/>
        <v>0</v>
      </c>
      <c r="AR216" s="183">
        <f t="shared" si="147"/>
        <v>0</v>
      </c>
    </row>
    <row r="217" spans="2:44" x14ac:dyDescent="0.25">
      <c r="B217" s="181" t="s">
        <v>780</v>
      </c>
      <c r="C217" s="182" t="s">
        <v>781</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122"/>
        <v>0</v>
      </c>
      <c r="G217" s="183"/>
      <c r="H217" s="183">
        <f t="shared" si="140"/>
        <v>0</v>
      </c>
      <c r="I217" s="183"/>
      <c r="J217" s="183">
        <f t="shared" si="141"/>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si="143"/>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si="144"/>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si="145"/>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si="146"/>
        <v>0</v>
      </c>
      <c r="AR217" s="183">
        <f t="shared" si="147"/>
        <v>0</v>
      </c>
    </row>
    <row r="218" spans="2:44" x14ac:dyDescent="0.25">
      <c r="B218" s="181" t="s">
        <v>782</v>
      </c>
      <c r="C218" s="182" t="s">
        <v>783</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ref="F218:F244" si="149">D218+E218</f>
        <v>0</v>
      </c>
      <c r="G218" s="183"/>
      <c r="H218" s="183">
        <f t="shared" si="140"/>
        <v>0</v>
      </c>
      <c r="I218" s="183"/>
      <c r="J218" s="183">
        <f t="shared" si="141"/>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si="143"/>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si="144"/>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si="145"/>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si="146"/>
        <v>0</v>
      </c>
      <c r="AR218" s="183">
        <f t="shared" si="147"/>
        <v>0</v>
      </c>
    </row>
    <row r="219" spans="2:44" x14ac:dyDescent="0.25">
      <c r="B219" s="181" t="s">
        <v>784</v>
      </c>
      <c r="C219" s="182" t="s">
        <v>785</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si="149"/>
        <v>0</v>
      </c>
      <c r="G219" s="183"/>
      <c r="H219" s="183">
        <f t="shared" si="140"/>
        <v>0</v>
      </c>
      <c r="I219" s="183"/>
      <c r="J219" s="183">
        <f t="shared" si="141"/>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143"/>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144"/>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145"/>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146"/>
        <v>0</v>
      </c>
      <c r="AR219" s="183">
        <f t="shared" si="147"/>
        <v>0</v>
      </c>
    </row>
    <row r="220" spans="2:44" x14ac:dyDescent="0.25">
      <c r="B220" s="181" t="s">
        <v>786</v>
      </c>
      <c r="C220" s="182" t="s">
        <v>787</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si="149"/>
        <v>0</v>
      </c>
      <c r="G220" s="183"/>
      <c r="H220" s="183">
        <f t="shared" si="140"/>
        <v>0</v>
      </c>
      <c r="I220" s="183"/>
      <c r="J220" s="183">
        <f t="shared" si="141"/>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143"/>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44"/>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45"/>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46"/>
        <v>0</v>
      </c>
      <c r="AR220" s="183">
        <f t="shared" si="147"/>
        <v>0</v>
      </c>
    </row>
    <row r="221" spans="2:44" x14ac:dyDescent="0.25">
      <c r="B221" s="181" t="s">
        <v>788</v>
      </c>
      <c r="C221" s="182" t="s">
        <v>789</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149"/>
        <v>0</v>
      </c>
      <c r="G221" s="183"/>
      <c r="H221" s="183">
        <f t="shared" si="140"/>
        <v>0</v>
      </c>
      <c r="I221" s="183"/>
      <c r="J221" s="183">
        <f t="shared" si="141"/>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si="143"/>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si="144"/>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si="145"/>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si="146"/>
        <v>0</v>
      </c>
      <c r="AR221" s="183">
        <f t="shared" si="147"/>
        <v>0</v>
      </c>
    </row>
    <row r="222" spans="2:44" x14ac:dyDescent="0.25">
      <c r="B222" s="178" t="s">
        <v>307</v>
      </c>
      <c r="C222" s="179" t="s">
        <v>186</v>
      </c>
      <c r="D222" s="180">
        <f>D223+D235+D243+D260+D267+D312</f>
        <v>196500</v>
      </c>
      <c r="E222" s="180">
        <f>E223+E235+E243+E260+E267+E312</f>
        <v>185000</v>
      </c>
      <c r="F222" s="180">
        <f t="shared" si="149"/>
        <v>381500</v>
      </c>
      <c r="G222" s="180">
        <f>G223+G235+G243+G260+G267+G312</f>
        <v>0</v>
      </c>
      <c r="H222" s="180">
        <f t="shared" si="140"/>
        <v>381500</v>
      </c>
      <c r="I222" s="180">
        <f>I223+I235+I243+I260+I267+I312</f>
        <v>0</v>
      </c>
      <c r="J222" s="180">
        <f t="shared" si="141"/>
        <v>381500</v>
      </c>
      <c r="K222" s="180">
        <f t="shared" ref="K222:AD222" si="150">K223+K235+K243+K260+K267+K312</f>
        <v>0</v>
      </c>
      <c r="L222" s="180">
        <f t="shared" si="150"/>
        <v>0</v>
      </c>
      <c r="M222" s="180">
        <f t="shared" si="150"/>
        <v>0</v>
      </c>
      <c r="N222" s="180">
        <f t="shared" si="150"/>
        <v>0</v>
      </c>
      <c r="O222" s="180">
        <f t="shared" si="150"/>
        <v>0</v>
      </c>
      <c r="P222" s="180">
        <f t="shared" si="150"/>
        <v>0</v>
      </c>
      <c r="Q222" s="180">
        <f t="shared" si="150"/>
        <v>346500</v>
      </c>
      <c r="R222" s="180">
        <f t="shared" si="150"/>
        <v>0</v>
      </c>
      <c r="S222" s="180">
        <f t="shared" si="150"/>
        <v>0</v>
      </c>
      <c r="T222" s="180">
        <f>T223+T235+T243+T260+T267+T312</f>
        <v>0</v>
      </c>
      <c r="U222" s="180">
        <f t="shared" si="150"/>
        <v>0</v>
      </c>
      <c r="V222" s="180">
        <f t="shared" si="150"/>
        <v>0</v>
      </c>
      <c r="W222" s="180">
        <f t="shared" si="150"/>
        <v>0</v>
      </c>
      <c r="X222" s="180">
        <f t="shared" si="150"/>
        <v>0</v>
      </c>
      <c r="Y222" s="180">
        <f>Y223+Y235+Y243+Y260+Y267+Y312</f>
        <v>34000</v>
      </c>
      <c r="Z222" s="180">
        <f>Z223+Z235+Z243+Z260+Z267+Z312</f>
        <v>0</v>
      </c>
      <c r="AA222" s="180">
        <f t="shared" si="150"/>
        <v>1000</v>
      </c>
      <c r="AB222" s="180">
        <f t="shared" si="150"/>
        <v>0</v>
      </c>
      <c r="AC222" s="180">
        <f t="shared" si="150"/>
        <v>125000</v>
      </c>
      <c r="AD222" s="180">
        <f t="shared" si="150"/>
        <v>6000</v>
      </c>
      <c r="AE222" s="180">
        <f t="shared" si="143"/>
        <v>131000</v>
      </c>
      <c r="AF222" s="180">
        <f>AF223+AF235+AF243+AF260+AF267+AF312</f>
        <v>0</v>
      </c>
      <c r="AG222" s="180">
        <f>AG223+AG235+AG243+AG260+AG267+AG312</f>
        <v>32000</v>
      </c>
      <c r="AH222" s="180">
        <f>AH223+AH235+AH243+AH260+AH267+AH312</f>
        <v>1500</v>
      </c>
      <c r="AI222" s="180">
        <f t="shared" si="144"/>
        <v>33500</v>
      </c>
      <c r="AJ222" s="180">
        <f>AJ223+AJ235+AJ243+AJ260+AJ267+AJ312</f>
        <v>30000</v>
      </c>
      <c r="AK222" s="180">
        <f>AK223+AK235+AK243+AK260+AK267+AK312</f>
        <v>150000</v>
      </c>
      <c r="AL222" s="180">
        <f>AL223+AL235+AL243+AL260+AL267+AL312</f>
        <v>0</v>
      </c>
      <c r="AM222" s="180">
        <f t="shared" si="145"/>
        <v>180000</v>
      </c>
      <c r="AN222" s="180">
        <f>AN223+AN235+AN243+AN260+AN267+AN312</f>
        <v>36000</v>
      </c>
      <c r="AO222" s="180">
        <f>AO223+AO235+AO243+AO260+AO267+AO312</f>
        <v>1000</v>
      </c>
      <c r="AP222" s="180">
        <f>AP223+AP235+AP243+AP260+AP267+AP312</f>
        <v>0</v>
      </c>
      <c r="AQ222" s="180">
        <f t="shared" si="146"/>
        <v>37000</v>
      </c>
      <c r="AR222" s="180">
        <f t="shared" si="147"/>
        <v>381500</v>
      </c>
    </row>
    <row r="223" spans="2:44" x14ac:dyDescent="0.25">
      <c r="B223" s="190" t="s">
        <v>308</v>
      </c>
      <c r="C223" s="191" t="s">
        <v>187</v>
      </c>
      <c r="D223" s="192">
        <f>SUM(D224:D234)</f>
        <v>141000</v>
      </c>
      <c r="E223" s="192">
        <f>SUM(E224:E234)</f>
        <v>180000</v>
      </c>
      <c r="F223" s="192">
        <f t="shared" si="149"/>
        <v>321000</v>
      </c>
      <c r="G223" s="192">
        <f>SUM(G224:G234)</f>
        <v>0</v>
      </c>
      <c r="H223" s="192">
        <f t="shared" si="140"/>
        <v>321000</v>
      </c>
      <c r="I223" s="192">
        <f>SUM(I224:I234)</f>
        <v>0</v>
      </c>
      <c r="J223" s="192">
        <f t="shared" si="141"/>
        <v>321000</v>
      </c>
      <c r="K223" s="192">
        <f t="shared" ref="K223:AD223" si="151">SUM(K224:K234)</f>
        <v>0</v>
      </c>
      <c r="L223" s="192">
        <f t="shared" si="151"/>
        <v>0</v>
      </c>
      <c r="M223" s="192">
        <f t="shared" si="151"/>
        <v>0</v>
      </c>
      <c r="N223" s="192">
        <f t="shared" si="151"/>
        <v>0</v>
      </c>
      <c r="O223" s="192">
        <f t="shared" si="151"/>
        <v>0</v>
      </c>
      <c r="P223" s="192">
        <f t="shared" si="151"/>
        <v>0</v>
      </c>
      <c r="Q223" s="192">
        <f t="shared" si="151"/>
        <v>290000</v>
      </c>
      <c r="R223" s="192">
        <f t="shared" si="151"/>
        <v>0</v>
      </c>
      <c r="S223" s="192">
        <f t="shared" si="151"/>
        <v>0</v>
      </c>
      <c r="T223" s="192">
        <f>SUM(T224:T234)</f>
        <v>0</v>
      </c>
      <c r="U223" s="192">
        <f t="shared" si="151"/>
        <v>0</v>
      </c>
      <c r="V223" s="192">
        <f t="shared" si="151"/>
        <v>0</v>
      </c>
      <c r="W223" s="192">
        <f t="shared" si="151"/>
        <v>0</v>
      </c>
      <c r="X223" s="192">
        <f t="shared" si="151"/>
        <v>0</v>
      </c>
      <c r="Y223" s="192">
        <f>SUM(Y224:Y234)</f>
        <v>30000</v>
      </c>
      <c r="Z223" s="192">
        <f>SUM(Z224:Z234)</f>
        <v>0</v>
      </c>
      <c r="AA223" s="192">
        <f t="shared" si="151"/>
        <v>1000</v>
      </c>
      <c r="AB223" s="192">
        <f t="shared" si="151"/>
        <v>0</v>
      </c>
      <c r="AC223" s="192">
        <f t="shared" si="151"/>
        <v>120000</v>
      </c>
      <c r="AD223" s="192">
        <f t="shared" si="151"/>
        <v>2000</v>
      </c>
      <c r="AE223" s="192">
        <f t="shared" si="143"/>
        <v>122000</v>
      </c>
      <c r="AF223" s="192">
        <f>SUM(AF224:AF234)</f>
        <v>0</v>
      </c>
      <c r="AG223" s="192">
        <f>SUM(AG224:AG234)</f>
        <v>16500</v>
      </c>
      <c r="AH223" s="192">
        <f>SUM(AH224:AH234)</f>
        <v>1500</v>
      </c>
      <c r="AI223" s="192">
        <f t="shared" si="144"/>
        <v>18000</v>
      </c>
      <c r="AJ223" s="192">
        <f>SUM(AJ224:AJ234)</f>
        <v>0</v>
      </c>
      <c r="AK223" s="192">
        <f>SUM(AK224:AK234)</f>
        <v>145000</v>
      </c>
      <c r="AL223" s="192">
        <f>SUM(AL224:AL234)</f>
        <v>0</v>
      </c>
      <c r="AM223" s="192">
        <f t="shared" si="145"/>
        <v>145000</v>
      </c>
      <c r="AN223" s="192">
        <f>SUM(AN224:AN234)</f>
        <v>35000</v>
      </c>
      <c r="AO223" s="192">
        <f>SUM(AO224:AO234)</f>
        <v>1000</v>
      </c>
      <c r="AP223" s="192">
        <f>SUM(AP224:AP234)</f>
        <v>0</v>
      </c>
      <c r="AQ223" s="192">
        <f t="shared" si="146"/>
        <v>36000</v>
      </c>
      <c r="AR223" s="192">
        <f t="shared" si="147"/>
        <v>321000</v>
      </c>
    </row>
    <row r="224" spans="2:44" x14ac:dyDescent="0.25">
      <c r="B224" s="181" t="s">
        <v>309</v>
      </c>
      <c r="C224" s="182" t="s">
        <v>188</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149"/>
        <v>1000</v>
      </c>
      <c r="G224" s="183"/>
      <c r="H224" s="183">
        <f t="shared" si="140"/>
        <v>1000</v>
      </c>
      <c r="I224" s="183"/>
      <c r="J224" s="183">
        <f t="shared" si="141"/>
        <v>1000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143"/>
        <v>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144"/>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145"/>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146"/>
        <v>1000</v>
      </c>
      <c r="AR224" s="183">
        <f t="shared" si="147"/>
        <v>1000</v>
      </c>
    </row>
    <row r="225" spans="2:44" x14ac:dyDescent="0.25">
      <c r="B225" s="181" t="s">
        <v>790</v>
      </c>
      <c r="C225" s="182" t="s">
        <v>791</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140000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180000</v>
      </c>
      <c r="F225" s="183">
        <f t="shared" si="149"/>
        <v>320000</v>
      </c>
      <c r="G225" s="183"/>
      <c r="H225" s="183">
        <f t="shared" si="140"/>
        <v>320000</v>
      </c>
      <c r="I225" s="183"/>
      <c r="J225" s="183">
        <f t="shared" si="141"/>
        <v>320000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290000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v>
      </c>
      <c r="AE225" s="183">
        <f t="shared" si="143"/>
        <v>122000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16500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v>
      </c>
      <c r="AI225" s="183">
        <f t="shared" si="144"/>
        <v>18000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145000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145"/>
        <v>145000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146"/>
        <v>35000</v>
      </c>
      <c r="AR225" s="183">
        <f t="shared" si="147"/>
        <v>320000</v>
      </c>
    </row>
    <row r="226" spans="2:44" x14ac:dyDescent="0.25">
      <c r="B226" s="181" t="s">
        <v>792</v>
      </c>
      <c r="C226" s="182" t="s">
        <v>793</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149"/>
        <v>0</v>
      </c>
      <c r="G226" s="183"/>
      <c r="H226" s="183">
        <f t="shared" si="140"/>
        <v>0</v>
      </c>
      <c r="I226" s="183"/>
      <c r="J226" s="183">
        <f t="shared" si="141"/>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143"/>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144"/>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145"/>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146"/>
        <v>0</v>
      </c>
      <c r="AR226" s="183">
        <f t="shared" si="147"/>
        <v>0</v>
      </c>
    </row>
    <row r="227" spans="2:44" x14ac:dyDescent="0.25">
      <c r="B227" s="181" t="s">
        <v>794</v>
      </c>
      <c r="C227" s="182" t="s">
        <v>795</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si="149"/>
        <v>0</v>
      </c>
      <c r="G227" s="183"/>
      <c r="H227" s="183">
        <f t="shared" si="140"/>
        <v>0</v>
      </c>
      <c r="I227" s="183"/>
      <c r="J227" s="183">
        <f t="shared" si="141"/>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si="143"/>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si="144"/>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si="145"/>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si="146"/>
        <v>0</v>
      </c>
      <c r="AR227" s="183">
        <f t="shared" si="147"/>
        <v>0</v>
      </c>
    </row>
    <row r="228" spans="2:44" x14ac:dyDescent="0.25">
      <c r="B228" s="181" t="s">
        <v>796</v>
      </c>
      <c r="C228" s="182" t="s">
        <v>797</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149"/>
        <v>0</v>
      </c>
      <c r="G228" s="183"/>
      <c r="H228" s="183">
        <f t="shared" si="140"/>
        <v>0</v>
      </c>
      <c r="I228" s="183"/>
      <c r="J228" s="183">
        <f t="shared" si="141"/>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143"/>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144"/>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145"/>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146"/>
        <v>0</v>
      </c>
      <c r="AR228" s="183">
        <f t="shared" si="147"/>
        <v>0</v>
      </c>
    </row>
    <row r="229" spans="2:44" x14ac:dyDescent="0.25">
      <c r="B229" s="181" t="s">
        <v>310</v>
      </c>
      <c r="C229" s="182" t="s">
        <v>798</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149"/>
        <v>0</v>
      </c>
      <c r="G229" s="183"/>
      <c r="H229" s="183">
        <f t="shared" si="140"/>
        <v>0</v>
      </c>
      <c r="I229" s="183"/>
      <c r="J229" s="183">
        <f t="shared" si="141"/>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143"/>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144"/>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145"/>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146"/>
        <v>0</v>
      </c>
      <c r="AR229" s="183">
        <f t="shared" si="147"/>
        <v>0</v>
      </c>
    </row>
    <row r="230" spans="2:44" x14ac:dyDescent="0.25">
      <c r="B230" s="181" t="s">
        <v>799</v>
      </c>
      <c r="C230" s="182" t="s">
        <v>800</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 t="shared" si="149"/>
        <v>0</v>
      </c>
      <c r="G230" s="183"/>
      <c r="H230" s="183">
        <f t="shared" si="140"/>
        <v>0</v>
      </c>
      <c r="I230" s="183"/>
      <c r="J230" s="183">
        <f t="shared" si="141"/>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 t="shared" si="143"/>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 t="shared" si="144"/>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 t="shared" si="145"/>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 t="shared" si="146"/>
        <v>0</v>
      </c>
      <c r="AR230" s="183">
        <f t="shared" si="147"/>
        <v>0</v>
      </c>
    </row>
    <row r="231" spans="2:44" x14ac:dyDescent="0.25">
      <c r="B231" s="181" t="s">
        <v>327</v>
      </c>
      <c r="C231" s="182" t="s">
        <v>199</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 t="shared" si="149"/>
        <v>0</v>
      </c>
      <c r="G231" s="183"/>
      <c r="H231" s="183">
        <f t="shared" si="140"/>
        <v>0</v>
      </c>
      <c r="I231" s="183"/>
      <c r="J231" s="183">
        <f t="shared" si="141"/>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 t="shared" si="143"/>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 t="shared" si="144"/>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 t="shared" si="145"/>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 t="shared" si="146"/>
        <v>0</v>
      </c>
      <c r="AR231" s="183">
        <f t="shared" si="147"/>
        <v>0</v>
      </c>
    </row>
    <row r="232" spans="2:44" x14ac:dyDescent="0.25">
      <c r="B232" s="181" t="s">
        <v>837</v>
      </c>
      <c r="C232" s="182" t="s">
        <v>838</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si="149"/>
        <v>0</v>
      </c>
      <c r="G232" s="183"/>
      <c r="H232" s="183">
        <f t="shared" si="140"/>
        <v>0</v>
      </c>
      <c r="I232" s="183"/>
      <c r="J232" s="183">
        <f t="shared" si="141"/>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si="143"/>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si="144"/>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si="145"/>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si="146"/>
        <v>0</v>
      </c>
      <c r="AR232" s="183">
        <f t="shared" si="147"/>
        <v>0</v>
      </c>
    </row>
    <row r="233" spans="2:44" x14ac:dyDescent="0.25">
      <c r="B233" s="181" t="s">
        <v>839</v>
      </c>
      <c r="C233" s="182" t="s">
        <v>840</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si="149"/>
        <v>0</v>
      </c>
      <c r="G233" s="183"/>
      <c r="H233" s="183">
        <f t="shared" si="140"/>
        <v>0</v>
      </c>
      <c r="I233" s="183"/>
      <c r="J233" s="183">
        <f t="shared" si="141"/>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si="143"/>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si="144"/>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si="145"/>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si="146"/>
        <v>0</v>
      </c>
      <c r="AR233" s="183">
        <f t="shared" si="147"/>
        <v>0</v>
      </c>
    </row>
    <row r="234" spans="2:44" x14ac:dyDescent="0.25">
      <c r="B234" s="181" t="s">
        <v>841</v>
      </c>
      <c r="C234" s="182" t="s">
        <v>842</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 t="shared" si="149"/>
        <v>0</v>
      </c>
      <c r="G234" s="183"/>
      <c r="H234" s="183">
        <f t="shared" si="140"/>
        <v>0</v>
      </c>
      <c r="I234" s="183"/>
      <c r="J234" s="183">
        <f t="shared" si="141"/>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 t="shared" si="143"/>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 t="shared" si="144"/>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 t="shared" si="145"/>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 t="shared" si="146"/>
        <v>0</v>
      </c>
      <c r="AR234" s="183">
        <f t="shared" si="147"/>
        <v>0</v>
      </c>
    </row>
    <row r="235" spans="2:44" x14ac:dyDescent="0.25">
      <c r="B235" s="190" t="s">
        <v>311</v>
      </c>
      <c r="C235" s="191" t="s">
        <v>189</v>
      </c>
      <c r="D235" s="192">
        <f>SUM(D236:D242)</f>
        <v>0</v>
      </c>
      <c r="E235" s="192">
        <f>SUM(E236:E242)</f>
        <v>0</v>
      </c>
      <c r="F235" s="192">
        <f t="shared" si="149"/>
        <v>0</v>
      </c>
      <c r="G235" s="192">
        <f>SUM(G236:G242)</f>
        <v>0</v>
      </c>
      <c r="H235" s="192">
        <f t="shared" si="140"/>
        <v>0</v>
      </c>
      <c r="I235" s="192">
        <f>SUM(I236:I242)</f>
        <v>0</v>
      </c>
      <c r="J235" s="192">
        <f t="shared" si="141"/>
        <v>0</v>
      </c>
      <c r="K235" s="192">
        <f t="shared" ref="K235:AD235" si="152">SUM(K236:K242)</f>
        <v>0</v>
      </c>
      <c r="L235" s="192">
        <f t="shared" si="152"/>
        <v>0</v>
      </c>
      <c r="M235" s="192">
        <f t="shared" si="152"/>
        <v>0</v>
      </c>
      <c r="N235" s="192">
        <f t="shared" si="152"/>
        <v>0</v>
      </c>
      <c r="O235" s="192">
        <f t="shared" si="152"/>
        <v>0</v>
      </c>
      <c r="P235" s="192">
        <f>SUM(P236:P242)</f>
        <v>0</v>
      </c>
      <c r="Q235" s="192">
        <f>SUM(Q236:Q242)</f>
        <v>0</v>
      </c>
      <c r="R235" s="192">
        <f t="shared" si="152"/>
        <v>0</v>
      </c>
      <c r="S235" s="192">
        <f t="shared" si="152"/>
        <v>0</v>
      </c>
      <c r="T235" s="192">
        <f>SUM(T236:T242)</f>
        <v>0</v>
      </c>
      <c r="U235" s="192">
        <f t="shared" si="152"/>
        <v>0</v>
      </c>
      <c r="V235" s="192">
        <f t="shared" si="152"/>
        <v>0</v>
      </c>
      <c r="W235" s="192">
        <f>SUM(W236:W242)</f>
        <v>0</v>
      </c>
      <c r="X235" s="192">
        <f t="shared" si="152"/>
        <v>0</v>
      </c>
      <c r="Y235" s="192">
        <f>SUM(Y236:Y242)</f>
        <v>0</v>
      </c>
      <c r="Z235" s="192">
        <f>SUM(Z236:Z242)</f>
        <v>0</v>
      </c>
      <c r="AA235" s="192">
        <f t="shared" si="152"/>
        <v>0</v>
      </c>
      <c r="AB235" s="192">
        <f t="shared" si="152"/>
        <v>0</v>
      </c>
      <c r="AC235" s="192">
        <f t="shared" si="152"/>
        <v>0</v>
      </c>
      <c r="AD235" s="192">
        <f t="shared" si="152"/>
        <v>0</v>
      </c>
      <c r="AE235" s="192">
        <f t="shared" si="143"/>
        <v>0</v>
      </c>
      <c r="AF235" s="192">
        <f>SUM(AF236:AF242)</f>
        <v>0</v>
      </c>
      <c r="AG235" s="192">
        <f>SUM(AG236:AG242)</f>
        <v>0</v>
      </c>
      <c r="AH235" s="192">
        <f>SUM(AH236:AH242)</f>
        <v>0</v>
      </c>
      <c r="AI235" s="192">
        <f t="shared" si="144"/>
        <v>0</v>
      </c>
      <c r="AJ235" s="192">
        <f>SUM(AJ236:AJ242)</f>
        <v>0</v>
      </c>
      <c r="AK235" s="192">
        <f>SUM(AK236:AK242)</f>
        <v>0</v>
      </c>
      <c r="AL235" s="192">
        <f>SUM(AL236:AL242)</f>
        <v>0</v>
      </c>
      <c r="AM235" s="192">
        <f t="shared" si="145"/>
        <v>0</v>
      </c>
      <c r="AN235" s="192">
        <f>SUM(AN236:AN242)</f>
        <v>0</v>
      </c>
      <c r="AO235" s="192">
        <f>SUM(AO236:AO242)</f>
        <v>0</v>
      </c>
      <c r="AP235" s="192">
        <f>SUM(AP236:AP242)</f>
        <v>0</v>
      </c>
      <c r="AQ235" s="192">
        <f t="shared" si="146"/>
        <v>0</v>
      </c>
      <c r="AR235" s="192">
        <f t="shared" si="147"/>
        <v>0</v>
      </c>
    </row>
    <row r="236" spans="2:44" x14ac:dyDescent="0.25">
      <c r="B236" s="181" t="s">
        <v>801</v>
      </c>
      <c r="C236" s="182" t="s">
        <v>802</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si="149"/>
        <v>0</v>
      </c>
      <c r="G236" s="183"/>
      <c r="H236" s="183">
        <f t="shared" si="140"/>
        <v>0</v>
      </c>
      <c r="I236" s="183"/>
      <c r="J236" s="183">
        <f t="shared" si="141"/>
        <v>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si="143"/>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si="144"/>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si="145"/>
        <v>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si="146"/>
        <v>0</v>
      </c>
      <c r="AR236" s="183">
        <f t="shared" si="147"/>
        <v>0</v>
      </c>
    </row>
    <row r="237" spans="2:44" x14ac:dyDescent="0.25">
      <c r="B237" s="181" t="s">
        <v>803</v>
      </c>
      <c r="C237" s="182" t="s">
        <v>804</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149"/>
        <v>0</v>
      </c>
      <c r="G237" s="183"/>
      <c r="H237" s="183">
        <f t="shared" si="140"/>
        <v>0</v>
      </c>
      <c r="I237" s="183"/>
      <c r="J237" s="183">
        <f t="shared" si="141"/>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143"/>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144"/>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145"/>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146"/>
        <v>0</v>
      </c>
      <c r="AR237" s="183">
        <f t="shared" si="147"/>
        <v>0</v>
      </c>
    </row>
    <row r="238" spans="2:44" x14ac:dyDescent="0.25">
      <c r="B238" s="181" t="s">
        <v>312</v>
      </c>
      <c r="C238" s="182" t="s">
        <v>805</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149"/>
        <v>0</v>
      </c>
      <c r="G238" s="183"/>
      <c r="H238" s="183">
        <f t="shared" si="140"/>
        <v>0</v>
      </c>
      <c r="I238" s="183"/>
      <c r="J238" s="183">
        <f t="shared" si="141"/>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143"/>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144"/>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145"/>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146"/>
        <v>0</v>
      </c>
      <c r="AR238" s="183">
        <f t="shared" si="147"/>
        <v>0</v>
      </c>
    </row>
    <row r="239" spans="2:44" x14ac:dyDescent="0.25">
      <c r="B239" s="181" t="s">
        <v>806</v>
      </c>
      <c r="C239" s="182" t="s">
        <v>807</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149"/>
        <v>0</v>
      </c>
      <c r="G239" s="183"/>
      <c r="H239" s="183">
        <f t="shared" si="140"/>
        <v>0</v>
      </c>
      <c r="I239" s="183"/>
      <c r="J239" s="183">
        <f t="shared" si="141"/>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143"/>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144"/>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145"/>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146"/>
        <v>0</v>
      </c>
      <c r="AR239" s="183">
        <f t="shared" si="147"/>
        <v>0</v>
      </c>
    </row>
    <row r="240" spans="2:44" x14ac:dyDescent="0.25">
      <c r="B240" s="181" t="s">
        <v>808</v>
      </c>
      <c r="C240" s="182" t="s">
        <v>805</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149"/>
        <v>0</v>
      </c>
      <c r="G240" s="183"/>
      <c r="H240" s="183">
        <f t="shared" si="140"/>
        <v>0</v>
      </c>
      <c r="I240" s="183"/>
      <c r="J240" s="183">
        <f t="shared" si="141"/>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143"/>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144"/>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145"/>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146"/>
        <v>0</v>
      </c>
      <c r="AR240" s="183">
        <f t="shared" si="147"/>
        <v>0</v>
      </c>
    </row>
    <row r="241" spans="2:44" x14ac:dyDescent="0.25">
      <c r="B241" s="181" t="s">
        <v>809</v>
      </c>
      <c r="C241" s="182" t="s">
        <v>810</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si="149"/>
        <v>0</v>
      </c>
      <c r="G241" s="183"/>
      <c r="H241" s="183">
        <f t="shared" si="140"/>
        <v>0</v>
      </c>
      <c r="I241" s="183"/>
      <c r="J241" s="183">
        <f t="shared" si="141"/>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si="143"/>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si="144"/>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si="145"/>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si="146"/>
        <v>0</v>
      </c>
      <c r="AR241" s="183">
        <f t="shared" si="147"/>
        <v>0</v>
      </c>
    </row>
    <row r="242" spans="2:44" x14ac:dyDescent="0.25">
      <c r="B242" s="181" t="s">
        <v>811</v>
      </c>
      <c r="C242" s="182" t="s">
        <v>812</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si="149"/>
        <v>0</v>
      </c>
      <c r="G242" s="183"/>
      <c r="H242" s="183">
        <f t="shared" si="140"/>
        <v>0</v>
      </c>
      <c r="I242" s="183"/>
      <c r="J242" s="183">
        <f t="shared" si="141"/>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si="143"/>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si="144"/>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si="145"/>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si="146"/>
        <v>0</v>
      </c>
      <c r="AR242" s="183">
        <f t="shared" si="147"/>
        <v>0</v>
      </c>
    </row>
    <row r="243" spans="2:44" x14ac:dyDescent="0.25">
      <c r="B243" s="190" t="s">
        <v>313</v>
      </c>
      <c r="C243" s="191" t="s">
        <v>190</v>
      </c>
      <c r="D243" s="192">
        <f>SUM(D244:D259)</f>
        <v>30000</v>
      </c>
      <c r="E243" s="192">
        <f>SUM(E244:E259)</f>
        <v>0</v>
      </c>
      <c r="F243" s="192">
        <f t="shared" si="149"/>
        <v>30000</v>
      </c>
      <c r="G243" s="192">
        <f>SUM(G244:G259)</f>
        <v>0</v>
      </c>
      <c r="H243" s="192">
        <f t="shared" si="140"/>
        <v>30000</v>
      </c>
      <c r="I243" s="192">
        <f>SUM(I244:I259)</f>
        <v>0</v>
      </c>
      <c r="J243" s="192">
        <f t="shared" si="141"/>
        <v>30000</v>
      </c>
      <c r="K243" s="192">
        <f t="shared" ref="K243:AD243" si="153">SUM(K244:K259)</f>
        <v>0</v>
      </c>
      <c r="L243" s="192">
        <f t="shared" si="153"/>
        <v>0</v>
      </c>
      <c r="M243" s="192">
        <f t="shared" si="153"/>
        <v>0</v>
      </c>
      <c r="N243" s="192">
        <f t="shared" si="153"/>
        <v>0</v>
      </c>
      <c r="O243" s="192">
        <f t="shared" si="153"/>
        <v>0</v>
      </c>
      <c r="P243" s="192">
        <f>SUM(P244:P259)</f>
        <v>0</v>
      </c>
      <c r="Q243" s="192">
        <f>SUM(Q244:Q259)</f>
        <v>30000</v>
      </c>
      <c r="R243" s="192">
        <f t="shared" si="153"/>
        <v>0</v>
      </c>
      <c r="S243" s="192">
        <f t="shared" si="153"/>
        <v>0</v>
      </c>
      <c r="T243" s="192">
        <f>SUM(T244:T259)</f>
        <v>0</v>
      </c>
      <c r="U243" s="192">
        <f t="shared" si="153"/>
        <v>0</v>
      </c>
      <c r="V243" s="192">
        <f t="shared" si="153"/>
        <v>0</v>
      </c>
      <c r="W243" s="192">
        <f>SUM(W244:W259)</f>
        <v>0</v>
      </c>
      <c r="X243" s="192">
        <f t="shared" si="153"/>
        <v>0</v>
      </c>
      <c r="Y243" s="192">
        <f>SUM(Y244:Y259)</f>
        <v>0</v>
      </c>
      <c r="Z243" s="192">
        <f>SUM(Z244:Z259)</f>
        <v>0</v>
      </c>
      <c r="AA243" s="192">
        <f t="shared" si="153"/>
        <v>0</v>
      </c>
      <c r="AB243" s="192">
        <f t="shared" si="153"/>
        <v>0</v>
      </c>
      <c r="AC243" s="192">
        <f t="shared" si="153"/>
        <v>0</v>
      </c>
      <c r="AD243" s="192">
        <f t="shared" si="153"/>
        <v>0</v>
      </c>
      <c r="AE243" s="192">
        <f t="shared" si="143"/>
        <v>0</v>
      </c>
      <c r="AF243" s="192">
        <f>SUM(AF244:AF259)</f>
        <v>0</v>
      </c>
      <c r="AG243" s="192">
        <f>SUM(AG244:AG259)</f>
        <v>0</v>
      </c>
      <c r="AH243" s="192">
        <f>SUM(AH244:AH259)</f>
        <v>0</v>
      </c>
      <c r="AI243" s="192">
        <f t="shared" si="144"/>
        <v>0</v>
      </c>
      <c r="AJ243" s="192">
        <f>SUM(AJ244:AJ259)</f>
        <v>30000</v>
      </c>
      <c r="AK243" s="192">
        <f>SUM(AK244:AK259)</f>
        <v>0</v>
      </c>
      <c r="AL243" s="192">
        <f>SUM(AL244:AL259)</f>
        <v>0</v>
      </c>
      <c r="AM243" s="192">
        <f t="shared" si="145"/>
        <v>30000</v>
      </c>
      <c r="AN243" s="192">
        <f>SUM(AN244:AN259)</f>
        <v>0</v>
      </c>
      <c r="AO243" s="192">
        <f>SUM(AO244:AO259)</f>
        <v>0</v>
      </c>
      <c r="AP243" s="192">
        <f>SUM(AP244:AP259)</f>
        <v>0</v>
      </c>
      <c r="AQ243" s="192">
        <f t="shared" si="146"/>
        <v>0</v>
      </c>
      <c r="AR243" s="192">
        <f t="shared" si="147"/>
        <v>30000</v>
      </c>
    </row>
    <row r="244" spans="2:44" x14ac:dyDescent="0.25">
      <c r="B244" s="181" t="s">
        <v>813</v>
      </c>
      <c r="C244" s="182" t="s">
        <v>814</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149"/>
        <v>0</v>
      </c>
      <c r="G244" s="183"/>
      <c r="H244" s="183">
        <f t="shared" si="140"/>
        <v>0</v>
      </c>
      <c r="I244" s="183"/>
      <c r="J244" s="183">
        <f t="shared" si="141"/>
        <v>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143"/>
        <v>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144"/>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145"/>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146"/>
        <v>0</v>
      </c>
      <c r="AR244" s="183">
        <f t="shared" si="147"/>
        <v>0</v>
      </c>
    </row>
    <row r="245" spans="2:44" x14ac:dyDescent="0.25">
      <c r="B245" s="181" t="s">
        <v>815</v>
      </c>
      <c r="C245" s="182" t="s">
        <v>816</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154">D245+E245</f>
        <v>0</v>
      </c>
      <c r="G245" s="183"/>
      <c r="H245" s="183">
        <f t="shared" ref="H245:H253" si="155">F245-G245</f>
        <v>0</v>
      </c>
      <c r="I245" s="183"/>
      <c r="J245" s="183">
        <f t="shared" ref="J245:J253" si="156">F245-I245</f>
        <v>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157">AB245+AC245+AD245</f>
        <v>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15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15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160">AN245+AO245+AP245</f>
        <v>0</v>
      </c>
      <c r="AR245" s="183">
        <f t="shared" ref="AR245:AR253" si="161">AE245+AI245+AM245+AQ245</f>
        <v>0</v>
      </c>
    </row>
    <row r="246" spans="2:44" x14ac:dyDescent="0.25">
      <c r="B246" s="181" t="s">
        <v>817</v>
      </c>
      <c r="C246" s="182" t="s">
        <v>818</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154"/>
        <v>0</v>
      </c>
      <c r="G246" s="183"/>
      <c r="H246" s="183">
        <f t="shared" si="155"/>
        <v>0</v>
      </c>
      <c r="I246" s="183"/>
      <c r="J246" s="183">
        <f t="shared" si="156"/>
        <v>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15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15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15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160"/>
        <v>0</v>
      </c>
      <c r="AR246" s="183">
        <f t="shared" si="161"/>
        <v>0</v>
      </c>
    </row>
    <row r="247" spans="2:44" x14ac:dyDescent="0.25">
      <c r="B247" s="181" t="s">
        <v>314</v>
      </c>
      <c r="C247" s="182" t="s">
        <v>191</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154"/>
        <v>0</v>
      </c>
      <c r="G247" s="183"/>
      <c r="H247" s="183">
        <f t="shared" si="155"/>
        <v>0</v>
      </c>
      <c r="I247" s="183"/>
      <c r="J247" s="183">
        <f t="shared" si="156"/>
        <v>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157"/>
        <v>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15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15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160"/>
        <v>0</v>
      </c>
      <c r="AR247" s="183">
        <f t="shared" si="161"/>
        <v>0</v>
      </c>
    </row>
    <row r="248" spans="2:44" x14ac:dyDescent="0.25">
      <c r="B248" s="181" t="s">
        <v>819</v>
      </c>
      <c r="C248" s="182" t="s">
        <v>820</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si="154"/>
        <v>0</v>
      </c>
      <c r="G248" s="183"/>
      <c r="H248" s="183">
        <f t="shared" si="155"/>
        <v>0</v>
      </c>
      <c r="I248" s="183"/>
      <c r="J248" s="183">
        <f t="shared" si="156"/>
        <v>0</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157"/>
        <v>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si="158"/>
        <v>0</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159"/>
        <v>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160"/>
        <v>0</v>
      </c>
      <c r="AR248" s="183">
        <f t="shared" si="161"/>
        <v>0</v>
      </c>
    </row>
    <row r="249" spans="2:44" x14ac:dyDescent="0.25">
      <c r="B249" s="181" t="s">
        <v>821</v>
      </c>
      <c r="C249" s="182" t="s">
        <v>822</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154"/>
        <v>0</v>
      </c>
      <c r="G249" s="183"/>
      <c r="H249" s="183">
        <f t="shared" si="155"/>
        <v>0</v>
      </c>
      <c r="I249" s="183"/>
      <c r="J249" s="183">
        <f t="shared" si="15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15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15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15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160"/>
        <v>0</v>
      </c>
      <c r="AR249" s="183">
        <f t="shared" si="161"/>
        <v>0</v>
      </c>
    </row>
    <row r="250" spans="2:44" x14ac:dyDescent="0.25">
      <c r="B250" s="181" t="s">
        <v>315</v>
      </c>
      <c r="C250" s="182" t="s">
        <v>192</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154"/>
        <v>30000</v>
      </c>
      <c r="G250" s="183"/>
      <c r="H250" s="183">
        <f t="shared" si="155"/>
        <v>30000</v>
      </c>
      <c r="I250" s="183"/>
      <c r="J250" s="183">
        <f t="shared" si="156"/>
        <v>30000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15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15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159"/>
        <v>30000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160"/>
        <v>0</v>
      </c>
      <c r="AR250" s="183">
        <f t="shared" si="161"/>
        <v>30000</v>
      </c>
    </row>
    <row r="251" spans="2:44" x14ac:dyDescent="0.25">
      <c r="B251" s="181" t="s">
        <v>823</v>
      </c>
      <c r="C251" s="182" t="s">
        <v>824</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154"/>
        <v>0</v>
      </c>
      <c r="G251" s="183"/>
      <c r="H251" s="183">
        <f t="shared" si="155"/>
        <v>0</v>
      </c>
      <c r="I251" s="183"/>
      <c r="J251" s="183">
        <f t="shared" si="15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15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15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15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160"/>
        <v>0</v>
      </c>
      <c r="AR251" s="183">
        <f t="shared" si="161"/>
        <v>0</v>
      </c>
    </row>
    <row r="252" spans="2:44" x14ac:dyDescent="0.25">
      <c r="B252" s="181" t="s">
        <v>825</v>
      </c>
      <c r="C252" s="182" t="s">
        <v>826</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154"/>
        <v>0</v>
      </c>
      <c r="G252" s="183"/>
      <c r="H252" s="183">
        <f t="shared" si="155"/>
        <v>0</v>
      </c>
      <c r="I252" s="183"/>
      <c r="J252" s="183">
        <f t="shared" si="15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15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15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15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160"/>
        <v>0</v>
      </c>
      <c r="AR252" s="183">
        <f t="shared" si="161"/>
        <v>0</v>
      </c>
    </row>
    <row r="253" spans="2:44" x14ac:dyDescent="0.25">
      <c r="B253" s="181" t="s">
        <v>316</v>
      </c>
      <c r="C253" s="182" t="s">
        <v>193</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154"/>
        <v>0</v>
      </c>
      <c r="G253" s="183"/>
      <c r="H253" s="183">
        <f t="shared" si="155"/>
        <v>0</v>
      </c>
      <c r="I253" s="183"/>
      <c r="J253" s="183">
        <f t="shared" si="15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15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15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15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160"/>
        <v>0</v>
      </c>
      <c r="AR253" s="183">
        <f t="shared" si="161"/>
        <v>0</v>
      </c>
    </row>
    <row r="254" spans="2:44" x14ac:dyDescent="0.25">
      <c r="B254" s="181" t="s">
        <v>827</v>
      </c>
      <c r="C254" s="182" t="s">
        <v>828</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ref="F254:F268" si="162">D254+E254</f>
        <v>0</v>
      </c>
      <c r="G254" s="183"/>
      <c r="H254" s="183">
        <f t="shared" ref="H254:H268" si="163">F254-G254</f>
        <v>0</v>
      </c>
      <c r="I254" s="183"/>
      <c r="J254" s="183">
        <f t="shared" ref="J254:J268" si="164">F254-I254</f>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ref="AE254:AE268" si="165">AB254+AC254+AD254</f>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ref="AI254:AI268" si="166">AF254+AG254+AH254</f>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ref="AM254:AM268" si="167">AJ254+AK254+AL254</f>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ref="AQ254:AQ268" si="168">AN254+AO254+AP254</f>
        <v>0</v>
      </c>
      <c r="AR254" s="183">
        <f t="shared" ref="AR254:AR268" si="169">AE254+AI254+AM254+AQ254</f>
        <v>0</v>
      </c>
    </row>
    <row r="255" spans="2:44" x14ac:dyDescent="0.25">
      <c r="B255" s="181" t="s">
        <v>829</v>
      </c>
      <c r="C255" s="182" t="s">
        <v>830</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162"/>
        <v>0</v>
      </c>
      <c r="G255" s="183"/>
      <c r="H255" s="183">
        <f t="shared" si="163"/>
        <v>0</v>
      </c>
      <c r="I255" s="183"/>
      <c r="J255" s="183">
        <f t="shared" si="16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165"/>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166"/>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167"/>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168"/>
        <v>0</v>
      </c>
      <c r="AR255" s="183">
        <f t="shared" si="169"/>
        <v>0</v>
      </c>
    </row>
    <row r="256" spans="2:44" x14ac:dyDescent="0.25">
      <c r="B256" s="181" t="s">
        <v>831</v>
      </c>
      <c r="C256" s="182" t="s">
        <v>832</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162"/>
        <v>0</v>
      </c>
      <c r="G256" s="183"/>
      <c r="H256" s="183">
        <f t="shared" si="163"/>
        <v>0</v>
      </c>
      <c r="I256" s="183"/>
      <c r="J256" s="183">
        <f t="shared" si="16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165"/>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166"/>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167"/>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168"/>
        <v>0</v>
      </c>
      <c r="AR256" s="183">
        <f t="shared" si="169"/>
        <v>0</v>
      </c>
    </row>
    <row r="257" spans="2:44" x14ac:dyDescent="0.25">
      <c r="B257" s="181" t="s">
        <v>833</v>
      </c>
      <c r="C257" s="182" t="s">
        <v>834</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si="162"/>
        <v>0</v>
      </c>
      <c r="G257" s="183"/>
      <c r="H257" s="183">
        <f t="shared" si="163"/>
        <v>0</v>
      </c>
      <c r="I257" s="183"/>
      <c r="J257" s="183">
        <f t="shared" si="164"/>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si="165"/>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si="166"/>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si="167"/>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si="168"/>
        <v>0</v>
      </c>
      <c r="AR257" s="183">
        <f t="shared" si="169"/>
        <v>0</v>
      </c>
    </row>
    <row r="258" spans="2:44" x14ac:dyDescent="0.25">
      <c r="B258" s="181" t="s">
        <v>317</v>
      </c>
      <c r="C258" s="182" t="s">
        <v>194</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162"/>
        <v>0</v>
      </c>
      <c r="G258" s="183"/>
      <c r="H258" s="183">
        <f t="shared" si="163"/>
        <v>0</v>
      </c>
      <c r="I258" s="183"/>
      <c r="J258" s="183">
        <f t="shared" si="16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16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16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16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168"/>
        <v>0</v>
      </c>
      <c r="AR258" s="183">
        <f t="shared" si="169"/>
        <v>0</v>
      </c>
    </row>
    <row r="259" spans="2:44" x14ac:dyDescent="0.25">
      <c r="B259" s="181" t="s">
        <v>835</v>
      </c>
      <c r="C259" s="182" t="s">
        <v>836</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162"/>
        <v>0</v>
      </c>
      <c r="G259" s="183"/>
      <c r="H259" s="183">
        <f t="shared" si="163"/>
        <v>0</v>
      </c>
      <c r="I259" s="183"/>
      <c r="J259" s="183">
        <f t="shared" si="16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16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16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16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168"/>
        <v>0</v>
      </c>
      <c r="AR259" s="183">
        <f t="shared" si="169"/>
        <v>0</v>
      </c>
    </row>
    <row r="260" spans="2:44" x14ac:dyDescent="0.25">
      <c r="B260" s="190" t="s">
        <v>318</v>
      </c>
      <c r="C260" s="191" t="s">
        <v>195</v>
      </c>
      <c r="D260" s="192">
        <f>SUM(D261:D266)</f>
        <v>0</v>
      </c>
      <c r="E260" s="192">
        <f>SUM(E261:E266)</f>
        <v>0</v>
      </c>
      <c r="F260" s="192">
        <f t="shared" si="162"/>
        <v>0</v>
      </c>
      <c r="G260" s="192">
        <f>SUM(G261:G266)</f>
        <v>0</v>
      </c>
      <c r="H260" s="192">
        <f t="shared" si="163"/>
        <v>0</v>
      </c>
      <c r="I260" s="192">
        <f>SUM(I261:I266)</f>
        <v>0</v>
      </c>
      <c r="J260" s="192">
        <f t="shared" si="164"/>
        <v>0</v>
      </c>
      <c r="K260" s="192">
        <f t="shared" ref="K260:AD260" si="170">SUM(K261:K266)</f>
        <v>0</v>
      </c>
      <c r="L260" s="192">
        <f t="shared" si="170"/>
        <v>0</v>
      </c>
      <c r="M260" s="192">
        <f t="shared" si="170"/>
        <v>0</v>
      </c>
      <c r="N260" s="192">
        <f t="shared" si="170"/>
        <v>0</v>
      </c>
      <c r="O260" s="192">
        <f t="shared" si="170"/>
        <v>0</v>
      </c>
      <c r="P260" s="192">
        <f>SUM(P261:P266)</f>
        <v>0</v>
      </c>
      <c r="Q260" s="192">
        <f>SUM(Q261:Q266)</f>
        <v>0</v>
      </c>
      <c r="R260" s="192">
        <f t="shared" si="170"/>
        <v>0</v>
      </c>
      <c r="S260" s="192">
        <f t="shared" si="170"/>
        <v>0</v>
      </c>
      <c r="T260" s="192">
        <f>SUM(T261:T266)</f>
        <v>0</v>
      </c>
      <c r="U260" s="192">
        <f t="shared" si="170"/>
        <v>0</v>
      </c>
      <c r="V260" s="192">
        <f t="shared" si="170"/>
        <v>0</v>
      </c>
      <c r="W260" s="192">
        <f>SUM(W261:W266)</f>
        <v>0</v>
      </c>
      <c r="X260" s="192">
        <f t="shared" si="170"/>
        <v>0</v>
      </c>
      <c r="Y260" s="192">
        <f>SUM(Y261:Y266)</f>
        <v>0</v>
      </c>
      <c r="Z260" s="192">
        <f>SUM(Z261:Z266)</f>
        <v>0</v>
      </c>
      <c r="AA260" s="192">
        <f t="shared" si="170"/>
        <v>0</v>
      </c>
      <c r="AB260" s="192">
        <f t="shared" si="170"/>
        <v>0</v>
      </c>
      <c r="AC260" s="192">
        <f t="shared" si="170"/>
        <v>0</v>
      </c>
      <c r="AD260" s="192">
        <f t="shared" si="170"/>
        <v>0</v>
      </c>
      <c r="AE260" s="192">
        <f t="shared" si="165"/>
        <v>0</v>
      </c>
      <c r="AF260" s="192">
        <f>SUM(AF261:AF266)</f>
        <v>0</v>
      </c>
      <c r="AG260" s="192">
        <f>SUM(AG261:AG266)</f>
        <v>0</v>
      </c>
      <c r="AH260" s="192">
        <f>SUM(AH261:AH266)</f>
        <v>0</v>
      </c>
      <c r="AI260" s="192">
        <f t="shared" si="166"/>
        <v>0</v>
      </c>
      <c r="AJ260" s="192">
        <f>SUM(AJ261:AJ266)</f>
        <v>0</v>
      </c>
      <c r="AK260" s="192">
        <f>SUM(AK261:AK266)</f>
        <v>0</v>
      </c>
      <c r="AL260" s="192">
        <f>SUM(AL261:AL266)</f>
        <v>0</v>
      </c>
      <c r="AM260" s="192">
        <f t="shared" si="167"/>
        <v>0</v>
      </c>
      <c r="AN260" s="192">
        <f>SUM(AN261:AN266)</f>
        <v>0</v>
      </c>
      <c r="AO260" s="192">
        <f>SUM(AO261:AO266)</f>
        <v>0</v>
      </c>
      <c r="AP260" s="192">
        <f>SUM(AP261:AP266)</f>
        <v>0</v>
      </c>
      <c r="AQ260" s="192">
        <f t="shared" si="168"/>
        <v>0</v>
      </c>
      <c r="AR260" s="192">
        <f t="shared" si="169"/>
        <v>0</v>
      </c>
    </row>
    <row r="261" spans="2:44" x14ac:dyDescent="0.25">
      <c r="B261" s="181" t="s">
        <v>843</v>
      </c>
      <c r="C261" s="182" t="s">
        <v>844</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162"/>
        <v>0</v>
      </c>
      <c r="G261" s="183"/>
      <c r="H261" s="183">
        <f t="shared" si="163"/>
        <v>0</v>
      </c>
      <c r="I261" s="183"/>
      <c r="J261" s="183">
        <f t="shared" si="16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165"/>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166"/>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167"/>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168"/>
        <v>0</v>
      </c>
      <c r="AR261" s="183">
        <f t="shared" si="169"/>
        <v>0</v>
      </c>
    </row>
    <row r="262" spans="2:44" x14ac:dyDescent="0.25">
      <c r="B262" s="181" t="s">
        <v>845</v>
      </c>
      <c r="C262" s="182" t="s">
        <v>846</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162"/>
        <v>0</v>
      </c>
      <c r="G262" s="183"/>
      <c r="H262" s="183">
        <f t="shared" si="163"/>
        <v>0</v>
      </c>
      <c r="I262" s="183"/>
      <c r="J262" s="183">
        <f t="shared" si="16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165"/>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166"/>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167"/>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168"/>
        <v>0</v>
      </c>
      <c r="AR262" s="183">
        <f t="shared" si="169"/>
        <v>0</v>
      </c>
    </row>
    <row r="263" spans="2:44" x14ac:dyDescent="0.25">
      <c r="B263" s="181" t="s">
        <v>319</v>
      </c>
      <c r="C263" s="182" t="s">
        <v>196</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162"/>
        <v>0</v>
      </c>
      <c r="G263" s="183"/>
      <c r="H263" s="183">
        <f t="shared" si="163"/>
        <v>0</v>
      </c>
      <c r="I263" s="183"/>
      <c r="J263" s="183">
        <f t="shared" si="16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165"/>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166"/>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167"/>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168"/>
        <v>0</v>
      </c>
      <c r="AR263" s="183">
        <f t="shared" si="169"/>
        <v>0</v>
      </c>
    </row>
    <row r="264" spans="2:44" x14ac:dyDescent="0.25">
      <c r="B264" s="181" t="s">
        <v>847</v>
      </c>
      <c r="C264" s="182" t="s">
        <v>848</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si="162"/>
        <v>0</v>
      </c>
      <c r="G264" s="183"/>
      <c r="H264" s="183">
        <f t="shared" si="163"/>
        <v>0</v>
      </c>
      <c r="I264" s="183"/>
      <c r="J264" s="183">
        <f t="shared" si="164"/>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si="165"/>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si="166"/>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si="167"/>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si="168"/>
        <v>0</v>
      </c>
      <c r="AR264" s="183">
        <f t="shared" si="169"/>
        <v>0</v>
      </c>
    </row>
    <row r="265" spans="2:44" x14ac:dyDescent="0.25">
      <c r="B265" s="181" t="s">
        <v>849</v>
      </c>
      <c r="C265" s="182" t="s">
        <v>850</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162"/>
        <v>0</v>
      </c>
      <c r="G265" s="183"/>
      <c r="H265" s="183">
        <f t="shared" si="163"/>
        <v>0</v>
      </c>
      <c r="I265" s="183"/>
      <c r="J265" s="183">
        <f t="shared" si="164"/>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165"/>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166"/>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167"/>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168"/>
        <v>0</v>
      </c>
      <c r="AR265" s="183">
        <f t="shared" si="169"/>
        <v>0</v>
      </c>
    </row>
    <row r="266" spans="2:44" x14ac:dyDescent="0.25">
      <c r="B266" s="181" t="s">
        <v>851</v>
      </c>
      <c r="C266" s="182" t="s">
        <v>852</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162"/>
        <v>0</v>
      </c>
      <c r="G266" s="183"/>
      <c r="H266" s="183">
        <f t="shared" si="163"/>
        <v>0</v>
      </c>
      <c r="I266" s="183"/>
      <c r="J266" s="183">
        <f t="shared" si="164"/>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165"/>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166"/>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167"/>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168"/>
        <v>0</v>
      </c>
      <c r="AR266" s="183">
        <f t="shared" si="169"/>
        <v>0</v>
      </c>
    </row>
    <row r="267" spans="2:44" x14ac:dyDescent="0.25">
      <c r="B267" s="190" t="s">
        <v>320</v>
      </c>
      <c r="C267" s="191" t="s">
        <v>197</v>
      </c>
      <c r="D267" s="192">
        <f>SUM(D268:D311)</f>
        <v>10000</v>
      </c>
      <c r="E267" s="192">
        <f>SUM(E268:E311)</f>
        <v>5000</v>
      </c>
      <c r="F267" s="192">
        <f t="shared" si="162"/>
        <v>15000</v>
      </c>
      <c r="G267" s="192">
        <f>SUM(G268:G311)</f>
        <v>0</v>
      </c>
      <c r="H267" s="192">
        <f t="shared" si="163"/>
        <v>15000</v>
      </c>
      <c r="I267" s="192">
        <f>SUM(I268:I311)</f>
        <v>0</v>
      </c>
      <c r="J267" s="192">
        <f t="shared" si="164"/>
        <v>15000</v>
      </c>
      <c r="K267" s="192">
        <f t="shared" ref="K267:AD267" si="171">SUM(K268:K311)</f>
        <v>0</v>
      </c>
      <c r="L267" s="192">
        <f t="shared" si="171"/>
        <v>0</v>
      </c>
      <c r="M267" s="192">
        <f t="shared" si="171"/>
        <v>0</v>
      </c>
      <c r="N267" s="192">
        <f t="shared" si="171"/>
        <v>0</v>
      </c>
      <c r="O267" s="192">
        <f t="shared" si="171"/>
        <v>0</v>
      </c>
      <c r="P267" s="192">
        <f>SUM(P268:P311)</f>
        <v>0</v>
      </c>
      <c r="Q267" s="192">
        <f>SUM(Q268:Q311)</f>
        <v>11000</v>
      </c>
      <c r="R267" s="192">
        <f t="shared" si="171"/>
        <v>0</v>
      </c>
      <c r="S267" s="192">
        <f t="shared" si="171"/>
        <v>0</v>
      </c>
      <c r="T267" s="192">
        <f>SUM(T268:T311)</f>
        <v>0</v>
      </c>
      <c r="U267" s="192">
        <f t="shared" si="171"/>
        <v>0</v>
      </c>
      <c r="V267" s="192">
        <f t="shared" si="171"/>
        <v>0</v>
      </c>
      <c r="W267" s="192">
        <f>SUM(W268:W311)</f>
        <v>0</v>
      </c>
      <c r="X267" s="192">
        <f t="shared" si="171"/>
        <v>0</v>
      </c>
      <c r="Y267" s="192">
        <f>SUM(Y268:Y311)</f>
        <v>4000</v>
      </c>
      <c r="Z267" s="192">
        <f>SUM(Z268:Z311)</f>
        <v>0</v>
      </c>
      <c r="AA267" s="192">
        <f t="shared" si="171"/>
        <v>0</v>
      </c>
      <c r="AB267" s="192">
        <f t="shared" si="171"/>
        <v>0</v>
      </c>
      <c r="AC267" s="192">
        <f t="shared" si="171"/>
        <v>5000</v>
      </c>
      <c r="AD267" s="192">
        <f t="shared" si="171"/>
        <v>4000</v>
      </c>
      <c r="AE267" s="192">
        <f t="shared" si="165"/>
        <v>9000</v>
      </c>
      <c r="AF267" s="192">
        <f>SUM(AF268:AF311)</f>
        <v>0</v>
      </c>
      <c r="AG267" s="192">
        <f>SUM(AG268:AG311)</f>
        <v>0</v>
      </c>
      <c r="AH267" s="192">
        <f>SUM(AH268:AH311)</f>
        <v>0</v>
      </c>
      <c r="AI267" s="192">
        <f t="shared" si="166"/>
        <v>0</v>
      </c>
      <c r="AJ267" s="192">
        <f>SUM(AJ268:AJ311)</f>
        <v>0</v>
      </c>
      <c r="AK267" s="192">
        <f>SUM(AK268:AK311)</f>
        <v>5000</v>
      </c>
      <c r="AL267" s="192">
        <f>SUM(AL268:AL311)</f>
        <v>0</v>
      </c>
      <c r="AM267" s="192">
        <f t="shared" si="167"/>
        <v>5000</v>
      </c>
      <c r="AN267" s="192">
        <f>SUM(AN268:AN311)</f>
        <v>1000</v>
      </c>
      <c r="AO267" s="192">
        <f>SUM(AO268:AO311)</f>
        <v>0</v>
      </c>
      <c r="AP267" s="192">
        <f>SUM(AP268:AP311)</f>
        <v>0</v>
      </c>
      <c r="AQ267" s="192">
        <f t="shared" si="168"/>
        <v>1000</v>
      </c>
      <c r="AR267" s="192">
        <f t="shared" si="169"/>
        <v>15000</v>
      </c>
    </row>
    <row r="268" spans="2:44" x14ac:dyDescent="0.25">
      <c r="B268" s="181" t="s">
        <v>853</v>
      </c>
      <c r="C268" s="182" t="s">
        <v>854</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162"/>
        <v>0</v>
      </c>
      <c r="G268" s="183"/>
      <c r="H268" s="183">
        <f t="shared" si="163"/>
        <v>0</v>
      </c>
      <c r="I268" s="183"/>
      <c r="J268" s="183">
        <f t="shared" si="16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165"/>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166"/>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167"/>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168"/>
        <v>0</v>
      </c>
      <c r="AR268" s="183">
        <f t="shared" si="169"/>
        <v>0</v>
      </c>
    </row>
    <row r="269" spans="2:44" x14ac:dyDescent="0.25">
      <c r="B269" s="181" t="s">
        <v>321</v>
      </c>
      <c r="C269" s="182" t="s">
        <v>855</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172">D269+E269</f>
        <v>0</v>
      </c>
      <c r="G269" s="183"/>
      <c r="H269" s="183">
        <f t="shared" ref="H269:H300" si="173">F269-G269</f>
        <v>0</v>
      </c>
      <c r="I269" s="183"/>
      <c r="J269" s="183">
        <f t="shared" ref="J269:J300" si="174">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175">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176">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177">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178">AN269+AO269+AP269</f>
        <v>0</v>
      </c>
      <c r="AR269" s="183">
        <f t="shared" ref="AR269:AR300" si="179">AE269+AI269+AM269+AQ269</f>
        <v>0</v>
      </c>
    </row>
    <row r="270" spans="2:44" x14ac:dyDescent="0.25">
      <c r="B270" s="181" t="s">
        <v>856</v>
      </c>
      <c r="C270" s="182" t="s">
        <v>857</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172"/>
        <v>0</v>
      </c>
      <c r="G270" s="183"/>
      <c r="H270" s="183">
        <f t="shared" si="173"/>
        <v>0</v>
      </c>
      <c r="I270" s="183"/>
      <c r="J270" s="183">
        <f t="shared" si="174"/>
        <v>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175"/>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176"/>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177"/>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178"/>
        <v>0</v>
      </c>
      <c r="AR270" s="183">
        <f t="shared" si="179"/>
        <v>0</v>
      </c>
    </row>
    <row r="271" spans="2:44" x14ac:dyDescent="0.25">
      <c r="B271" s="181" t="s">
        <v>858</v>
      </c>
      <c r="C271" s="182" t="s">
        <v>859</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172"/>
        <v>0</v>
      </c>
      <c r="G271" s="183"/>
      <c r="H271" s="183">
        <f t="shared" si="173"/>
        <v>0</v>
      </c>
      <c r="I271" s="183"/>
      <c r="J271" s="183">
        <f t="shared" si="174"/>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175"/>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176"/>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177"/>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178"/>
        <v>0</v>
      </c>
      <c r="AR271" s="183">
        <f t="shared" si="179"/>
        <v>0</v>
      </c>
    </row>
    <row r="272" spans="2:44" x14ac:dyDescent="0.25">
      <c r="B272" s="181" t="s">
        <v>860</v>
      </c>
      <c r="C272" s="182" t="s">
        <v>861</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172"/>
        <v>0</v>
      </c>
      <c r="G272" s="183"/>
      <c r="H272" s="183">
        <f t="shared" si="173"/>
        <v>0</v>
      </c>
      <c r="I272" s="183"/>
      <c r="J272" s="183">
        <f t="shared" si="174"/>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175"/>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176"/>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177"/>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178"/>
        <v>0</v>
      </c>
      <c r="AR272" s="183">
        <f t="shared" si="179"/>
        <v>0</v>
      </c>
    </row>
    <row r="273" spans="2:44" x14ac:dyDescent="0.25">
      <c r="B273" s="181" t="s">
        <v>862</v>
      </c>
      <c r="C273" s="182" t="s">
        <v>863</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172"/>
        <v>0</v>
      </c>
      <c r="G273" s="183"/>
      <c r="H273" s="183">
        <f t="shared" si="173"/>
        <v>0</v>
      </c>
      <c r="I273" s="183"/>
      <c r="J273" s="183">
        <f t="shared" si="174"/>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175"/>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176"/>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177"/>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178"/>
        <v>0</v>
      </c>
      <c r="AR273" s="183">
        <f t="shared" si="179"/>
        <v>0</v>
      </c>
    </row>
    <row r="274" spans="2:44" x14ac:dyDescent="0.25">
      <c r="B274" s="181" t="s">
        <v>864</v>
      </c>
      <c r="C274" s="182" t="s">
        <v>865</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172"/>
        <v>0</v>
      </c>
      <c r="G274" s="183"/>
      <c r="H274" s="183">
        <f t="shared" si="173"/>
        <v>0</v>
      </c>
      <c r="I274" s="183"/>
      <c r="J274" s="183">
        <f t="shared" si="174"/>
        <v>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175"/>
        <v>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176"/>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177"/>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178"/>
        <v>0</v>
      </c>
      <c r="AR274" s="183">
        <f t="shared" si="179"/>
        <v>0</v>
      </c>
    </row>
    <row r="275" spans="2:44" x14ac:dyDescent="0.25">
      <c r="B275" s="181" t="s">
        <v>866</v>
      </c>
      <c r="C275" s="182" t="s">
        <v>867</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172"/>
        <v>0</v>
      </c>
      <c r="G275" s="183"/>
      <c r="H275" s="183">
        <f t="shared" si="173"/>
        <v>0</v>
      </c>
      <c r="I275" s="183"/>
      <c r="J275" s="183">
        <f t="shared" si="174"/>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175"/>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176"/>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177"/>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178"/>
        <v>0</v>
      </c>
      <c r="AR275" s="183">
        <f t="shared" si="179"/>
        <v>0</v>
      </c>
    </row>
    <row r="276" spans="2:44" x14ac:dyDescent="0.25">
      <c r="B276" s="181" t="s">
        <v>322</v>
      </c>
      <c r="C276" s="182" t="s">
        <v>868</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172"/>
        <v>0</v>
      </c>
      <c r="G276" s="183"/>
      <c r="H276" s="183">
        <f t="shared" si="173"/>
        <v>0</v>
      </c>
      <c r="I276" s="183"/>
      <c r="J276" s="183">
        <f t="shared" si="174"/>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175"/>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176"/>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177"/>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178"/>
        <v>0</v>
      </c>
      <c r="AR276" s="183">
        <f t="shared" si="179"/>
        <v>0</v>
      </c>
    </row>
    <row r="277" spans="2:44" x14ac:dyDescent="0.25">
      <c r="B277" s="181" t="s">
        <v>869</v>
      </c>
      <c r="C277" s="182" t="s">
        <v>870</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F277" s="183">
        <f t="shared" si="172"/>
        <v>15000</v>
      </c>
      <c r="G277" s="183"/>
      <c r="H277" s="183">
        <f t="shared" si="173"/>
        <v>15000</v>
      </c>
      <c r="I277" s="183"/>
      <c r="J277" s="183">
        <f t="shared" si="174"/>
        <v>15000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11000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E277" s="183">
        <f t="shared" si="175"/>
        <v>9000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176"/>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177"/>
        <v>5000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178"/>
        <v>1000</v>
      </c>
      <c r="AR277" s="183">
        <f t="shared" si="179"/>
        <v>15000</v>
      </c>
    </row>
    <row r="278" spans="2:44" x14ac:dyDescent="0.25">
      <c r="B278" s="181" t="s">
        <v>871</v>
      </c>
      <c r="C278" s="182" t="s">
        <v>872</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172"/>
        <v>0</v>
      </c>
      <c r="G278" s="183"/>
      <c r="H278" s="183">
        <f t="shared" si="173"/>
        <v>0</v>
      </c>
      <c r="I278" s="183"/>
      <c r="J278" s="183">
        <f t="shared" si="174"/>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175"/>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176"/>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177"/>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178"/>
        <v>0</v>
      </c>
      <c r="AR278" s="183">
        <f t="shared" si="179"/>
        <v>0</v>
      </c>
    </row>
    <row r="279" spans="2:44" x14ac:dyDescent="0.25">
      <c r="B279" s="181" t="s">
        <v>873</v>
      </c>
      <c r="C279" s="182" t="s">
        <v>874</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172"/>
        <v>0</v>
      </c>
      <c r="G279" s="183"/>
      <c r="H279" s="183">
        <f t="shared" si="173"/>
        <v>0</v>
      </c>
      <c r="I279" s="183"/>
      <c r="J279" s="183">
        <f t="shared" si="174"/>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175"/>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176"/>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177"/>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178"/>
        <v>0</v>
      </c>
      <c r="AR279" s="183">
        <f t="shared" si="179"/>
        <v>0</v>
      </c>
    </row>
    <row r="280" spans="2:44" x14ac:dyDescent="0.25">
      <c r="B280" s="181" t="s">
        <v>875</v>
      </c>
      <c r="C280" s="182" t="s">
        <v>876</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172"/>
        <v>0</v>
      </c>
      <c r="G280" s="183"/>
      <c r="H280" s="183">
        <f t="shared" si="173"/>
        <v>0</v>
      </c>
      <c r="I280" s="183"/>
      <c r="J280" s="183">
        <f t="shared" si="174"/>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175"/>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176"/>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177"/>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178"/>
        <v>0</v>
      </c>
      <c r="AR280" s="183">
        <f t="shared" si="179"/>
        <v>0</v>
      </c>
    </row>
    <row r="281" spans="2:44" x14ac:dyDescent="0.25">
      <c r="B281" s="181" t="s">
        <v>877</v>
      </c>
      <c r="C281" s="182" t="s">
        <v>878</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172"/>
        <v>0</v>
      </c>
      <c r="G281" s="183"/>
      <c r="H281" s="183">
        <f t="shared" si="173"/>
        <v>0</v>
      </c>
      <c r="I281" s="183"/>
      <c r="J281" s="183">
        <f t="shared" si="174"/>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175"/>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176"/>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177"/>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178"/>
        <v>0</v>
      </c>
      <c r="AR281" s="183">
        <f t="shared" si="179"/>
        <v>0</v>
      </c>
    </row>
    <row r="282" spans="2:44" x14ac:dyDescent="0.25">
      <c r="B282" s="181" t="s">
        <v>879</v>
      </c>
      <c r="C282" s="182" t="s">
        <v>880</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172"/>
        <v>0</v>
      </c>
      <c r="G282" s="183"/>
      <c r="H282" s="183">
        <f t="shared" si="173"/>
        <v>0</v>
      </c>
      <c r="I282" s="183"/>
      <c r="J282" s="183">
        <f t="shared" si="174"/>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175"/>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176"/>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177"/>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178"/>
        <v>0</v>
      </c>
      <c r="AR282" s="183">
        <f t="shared" si="179"/>
        <v>0</v>
      </c>
    </row>
    <row r="283" spans="2:44" x14ac:dyDescent="0.25">
      <c r="B283" s="181" t="s">
        <v>881</v>
      </c>
      <c r="C283" s="182" t="s">
        <v>882</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172"/>
        <v>0</v>
      </c>
      <c r="G283" s="183"/>
      <c r="H283" s="183">
        <f t="shared" si="173"/>
        <v>0</v>
      </c>
      <c r="I283" s="183"/>
      <c r="J283" s="183">
        <f t="shared" si="174"/>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175"/>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176"/>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177"/>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178"/>
        <v>0</v>
      </c>
      <c r="AR283" s="183">
        <f t="shared" si="179"/>
        <v>0</v>
      </c>
    </row>
    <row r="284" spans="2:44" x14ac:dyDescent="0.25">
      <c r="B284" s="181" t="s">
        <v>883</v>
      </c>
      <c r="C284" s="182" t="s">
        <v>884</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172"/>
        <v>0</v>
      </c>
      <c r="G284" s="183"/>
      <c r="H284" s="183">
        <f t="shared" si="173"/>
        <v>0</v>
      </c>
      <c r="I284" s="183"/>
      <c r="J284" s="183">
        <f t="shared" si="174"/>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175"/>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176"/>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177"/>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178"/>
        <v>0</v>
      </c>
      <c r="AR284" s="183">
        <f t="shared" si="179"/>
        <v>0</v>
      </c>
    </row>
    <row r="285" spans="2:44" x14ac:dyDescent="0.25">
      <c r="B285" s="181" t="s">
        <v>323</v>
      </c>
      <c r="C285" s="182" t="s">
        <v>885</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172"/>
        <v>0</v>
      </c>
      <c r="G285" s="183"/>
      <c r="H285" s="183">
        <f t="shared" si="173"/>
        <v>0</v>
      </c>
      <c r="I285" s="183"/>
      <c r="J285" s="183">
        <f t="shared" si="174"/>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175"/>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176"/>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177"/>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178"/>
        <v>0</v>
      </c>
      <c r="AR285" s="183">
        <f t="shared" si="179"/>
        <v>0</v>
      </c>
    </row>
    <row r="286" spans="2:44" x14ac:dyDescent="0.25">
      <c r="B286" s="181" t="s">
        <v>886</v>
      </c>
      <c r="C286" s="182" t="s">
        <v>887</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172"/>
        <v>0</v>
      </c>
      <c r="G286" s="183"/>
      <c r="H286" s="183">
        <f t="shared" si="173"/>
        <v>0</v>
      </c>
      <c r="I286" s="183"/>
      <c r="J286" s="183">
        <f t="shared" si="174"/>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175"/>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176"/>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177"/>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178"/>
        <v>0</v>
      </c>
      <c r="AR286" s="183">
        <f t="shared" si="179"/>
        <v>0</v>
      </c>
    </row>
    <row r="287" spans="2:44" x14ac:dyDescent="0.25">
      <c r="B287" s="181" t="s">
        <v>888</v>
      </c>
      <c r="C287" s="182" t="s">
        <v>889</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172"/>
        <v>0</v>
      </c>
      <c r="G287" s="183"/>
      <c r="H287" s="183">
        <f t="shared" si="173"/>
        <v>0</v>
      </c>
      <c r="I287" s="183"/>
      <c r="J287" s="183">
        <f t="shared" si="174"/>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175"/>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176"/>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177"/>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178"/>
        <v>0</v>
      </c>
      <c r="AR287" s="183">
        <f t="shared" si="179"/>
        <v>0</v>
      </c>
    </row>
    <row r="288" spans="2:44" x14ac:dyDescent="0.25">
      <c r="B288" s="181" t="s">
        <v>890</v>
      </c>
      <c r="C288" s="182" t="s">
        <v>891</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172"/>
        <v>0</v>
      </c>
      <c r="G288" s="183"/>
      <c r="H288" s="183">
        <f t="shared" si="173"/>
        <v>0</v>
      </c>
      <c r="I288" s="183"/>
      <c r="J288" s="183">
        <f t="shared" si="174"/>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175"/>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176"/>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177"/>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178"/>
        <v>0</v>
      </c>
      <c r="AR288" s="183">
        <f t="shared" si="179"/>
        <v>0</v>
      </c>
    </row>
    <row r="289" spans="2:44" x14ac:dyDescent="0.25">
      <c r="B289" s="181" t="s">
        <v>892</v>
      </c>
      <c r="C289" s="182" t="s">
        <v>885</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172"/>
        <v>0</v>
      </c>
      <c r="G289" s="183"/>
      <c r="H289" s="183">
        <f t="shared" si="173"/>
        <v>0</v>
      </c>
      <c r="I289" s="183"/>
      <c r="J289" s="183">
        <f t="shared" si="174"/>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175"/>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176"/>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177"/>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178"/>
        <v>0</v>
      </c>
      <c r="AR289" s="183">
        <f t="shared" si="179"/>
        <v>0</v>
      </c>
    </row>
    <row r="290" spans="2:44" x14ac:dyDescent="0.25">
      <c r="B290" s="181" t="s">
        <v>893</v>
      </c>
      <c r="C290" s="182" t="s">
        <v>894</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172"/>
        <v>0</v>
      </c>
      <c r="G290" s="183"/>
      <c r="H290" s="183">
        <f t="shared" si="173"/>
        <v>0</v>
      </c>
      <c r="I290" s="183"/>
      <c r="J290" s="183">
        <f t="shared" si="174"/>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175"/>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176"/>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177"/>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178"/>
        <v>0</v>
      </c>
      <c r="AR290" s="183">
        <f t="shared" si="179"/>
        <v>0</v>
      </c>
    </row>
    <row r="291" spans="2:44" x14ac:dyDescent="0.25">
      <c r="B291" s="181" t="s">
        <v>895</v>
      </c>
      <c r="C291" s="182" t="s">
        <v>896</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172"/>
        <v>0</v>
      </c>
      <c r="G291" s="183"/>
      <c r="H291" s="183">
        <f t="shared" si="173"/>
        <v>0</v>
      </c>
      <c r="I291" s="183"/>
      <c r="J291" s="183">
        <f t="shared" si="174"/>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175"/>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176"/>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177"/>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178"/>
        <v>0</v>
      </c>
      <c r="AR291" s="183">
        <f t="shared" si="179"/>
        <v>0</v>
      </c>
    </row>
    <row r="292" spans="2:44" x14ac:dyDescent="0.25">
      <c r="B292" s="181" t="s">
        <v>897</v>
      </c>
      <c r="C292" s="182" t="s">
        <v>898</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172"/>
        <v>0</v>
      </c>
      <c r="G292" s="183"/>
      <c r="H292" s="183">
        <f t="shared" si="173"/>
        <v>0</v>
      </c>
      <c r="I292" s="183"/>
      <c r="J292" s="183">
        <f t="shared" si="174"/>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175"/>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176"/>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177"/>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178"/>
        <v>0</v>
      </c>
      <c r="AR292" s="183">
        <f t="shared" si="179"/>
        <v>0</v>
      </c>
    </row>
    <row r="293" spans="2:44" x14ac:dyDescent="0.25">
      <c r="B293" s="181" t="s">
        <v>899</v>
      </c>
      <c r="C293" s="182" t="s">
        <v>900</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172"/>
        <v>0</v>
      </c>
      <c r="G293" s="183"/>
      <c r="H293" s="183">
        <f t="shared" si="173"/>
        <v>0</v>
      </c>
      <c r="I293" s="183"/>
      <c r="J293" s="183">
        <f t="shared" si="174"/>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175"/>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176"/>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177"/>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178"/>
        <v>0</v>
      </c>
      <c r="AR293" s="183">
        <f t="shared" si="179"/>
        <v>0</v>
      </c>
    </row>
    <row r="294" spans="2:44" x14ac:dyDescent="0.25">
      <c r="B294" s="181" t="s">
        <v>901</v>
      </c>
      <c r="C294" s="182" t="s">
        <v>902</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172"/>
        <v>0</v>
      </c>
      <c r="G294" s="183"/>
      <c r="H294" s="183">
        <f t="shared" si="173"/>
        <v>0</v>
      </c>
      <c r="I294" s="183"/>
      <c r="J294" s="183">
        <f t="shared" si="174"/>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175"/>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176"/>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177"/>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178"/>
        <v>0</v>
      </c>
      <c r="AR294" s="183">
        <f t="shared" si="179"/>
        <v>0</v>
      </c>
    </row>
    <row r="295" spans="2:44" x14ac:dyDescent="0.25">
      <c r="B295" s="181" t="s">
        <v>903</v>
      </c>
      <c r="C295" s="182" t="s">
        <v>904</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172"/>
        <v>0</v>
      </c>
      <c r="G295" s="183"/>
      <c r="H295" s="183">
        <f t="shared" si="173"/>
        <v>0</v>
      </c>
      <c r="I295" s="183"/>
      <c r="J295" s="183">
        <f t="shared" si="174"/>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175"/>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176"/>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177"/>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178"/>
        <v>0</v>
      </c>
      <c r="AR295" s="183">
        <f t="shared" si="179"/>
        <v>0</v>
      </c>
    </row>
    <row r="296" spans="2:44" x14ac:dyDescent="0.25">
      <c r="B296" s="181" t="s">
        <v>905</v>
      </c>
      <c r="C296" s="182" t="s">
        <v>906</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172"/>
        <v>0</v>
      </c>
      <c r="G296" s="183"/>
      <c r="H296" s="183">
        <f t="shared" si="173"/>
        <v>0</v>
      </c>
      <c r="I296" s="183"/>
      <c r="J296" s="183">
        <f t="shared" si="174"/>
        <v>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175"/>
        <v>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176"/>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177"/>
        <v>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178"/>
        <v>0</v>
      </c>
      <c r="AR296" s="183">
        <f t="shared" si="179"/>
        <v>0</v>
      </c>
    </row>
    <row r="297" spans="2:44" x14ac:dyDescent="0.25">
      <c r="B297" s="181" t="s">
        <v>907</v>
      </c>
      <c r="C297" s="182" t="s">
        <v>908</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172"/>
        <v>0</v>
      </c>
      <c r="G297" s="183"/>
      <c r="H297" s="183">
        <f t="shared" si="173"/>
        <v>0</v>
      </c>
      <c r="I297" s="183"/>
      <c r="J297" s="183">
        <f t="shared" si="174"/>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175"/>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176"/>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177"/>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178"/>
        <v>0</v>
      </c>
      <c r="AR297" s="183">
        <f t="shared" si="179"/>
        <v>0</v>
      </c>
    </row>
    <row r="298" spans="2:44" x14ac:dyDescent="0.25">
      <c r="B298" s="181" t="s">
        <v>909</v>
      </c>
      <c r="C298" s="182" t="s">
        <v>910</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172"/>
        <v>0</v>
      </c>
      <c r="G298" s="183"/>
      <c r="H298" s="183">
        <f t="shared" si="173"/>
        <v>0</v>
      </c>
      <c r="I298" s="183"/>
      <c r="J298" s="183">
        <f t="shared" si="174"/>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175"/>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176"/>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177"/>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178"/>
        <v>0</v>
      </c>
      <c r="AR298" s="183">
        <f t="shared" si="179"/>
        <v>0</v>
      </c>
    </row>
    <row r="299" spans="2:44" x14ac:dyDescent="0.25">
      <c r="B299" s="181" t="s">
        <v>911</v>
      </c>
      <c r="C299" s="182" t="s">
        <v>912</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172"/>
        <v>0</v>
      </c>
      <c r="G299" s="183"/>
      <c r="H299" s="183">
        <f t="shared" si="173"/>
        <v>0</v>
      </c>
      <c r="I299" s="183"/>
      <c r="J299" s="183">
        <f t="shared" si="174"/>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175"/>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176"/>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177"/>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178"/>
        <v>0</v>
      </c>
      <c r="AR299" s="183">
        <f t="shared" si="179"/>
        <v>0</v>
      </c>
    </row>
    <row r="300" spans="2:44" x14ac:dyDescent="0.25">
      <c r="B300" s="181" t="s">
        <v>913</v>
      </c>
      <c r="C300" s="182" t="s">
        <v>914</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172"/>
        <v>0</v>
      </c>
      <c r="G300" s="183"/>
      <c r="H300" s="183">
        <f t="shared" si="173"/>
        <v>0</v>
      </c>
      <c r="I300" s="183"/>
      <c r="J300" s="183">
        <f t="shared" si="174"/>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175"/>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176"/>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177"/>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178"/>
        <v>0</v>
      </c>
      <c r="AR300" s="183">
        <f t="shared" si="179"/>
        <v>0</v>
      </c>
    </row>
    <row r="301" spans="2:44" x14ac:dyDescent="0.25">
      <c r="B301" s="181" t="s">
        <v>915</v>
      </c>
      <c r="C301" s="182" t="s">
        <v>916</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ref="F301:F332" si="180">D301+E301</f>
        <v>0</v>
      </c>
      <c r="G301" s="183"/>
      <c r="H301" s="183">
        <f t="shared" ref="H301:H332" si="181">F301-G301</f>
        <v>0</v>
      </c>
      <c r="I301" s="183"/>
      <c r="J301" s="183">
        <f t="shared" ref="J301:J332" si="182">F301-I301</f>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ref="AE301:AE332" si="183">AB301+AC301+AD301</f>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ref="AI301:AI332" si="184">AF301+AG301+AH301</f>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ref="AM301:AM332" si="185">AJ301+AK301+AL301</f>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ref="AQ301:AQ332" si="186">AN301+AO301+AP301</f>
        <v>0</v>
      </c>
      <c r="AR301" s="183">
        <f t="shared" ref="AR301:AR332" si="187">AE301+AI301+AM301+AQ301</f>
        <v>0</v>
      </c>
    </row>
    <row r="302" spans="2:44" x14ac:dyDescent="0.25">
      <c r="B302" s="181" t="s">
        <v>917</v>
      </c>
      <c r="C302" s="182" t="s">
        <v>918</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180"/>
        <v>0</v>
      </c>
      <c r="G302" s="183"/>
      <c r="H302" s="183">
        <f t="shared" si="181"/>
        <v>0</v>
      </c>
      <c r="I302" s="183"/>
      <c r="J302" s="183">
        <f t="shared" si="182"/>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183"/>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184"/>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185"/>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186"/>
        <v>0</v>
      </c>
      <c r="AR302" s="183">
        <f t="shared" si="187"/>
        <v>0</v>
      </c>
    </row>
    <row r="303" spans="2:44" x14ac:dyDescent="0.25">
      <c r="B303" s="181" t="s">
        <v>919</v>
      </c>
      <c r="C303" s="182" t="s">
        <v>920</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180"/>
        <v>0</v>
      </c>
      <c r="G303" s="183"/>
      <c r="H303" s="183">
        <f t="shared" si="181"/>
        <v>0</v>
      </c>
      <c r="I303" s="183"/>
      <c r="J303" s="183">
        <f t="shared" si="182"/>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183"/>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184"/>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185"/>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186"/>
        <v>0</v>
      </c>
      <c r="AR303" s="183">
        <f t="shared" si="187"/>
        <v>0</v>
      </c>
    </row>
    <row r="304" spans="2:44" x14ac:dyDescent="0.25">
      <c r="B304" s="181" t="s">
        <v>921</v>
      </c>
      <c r="C304" s="182" t="s">
        <v>922</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180"/>
        <v>0</v>
      </c>
      <c r="G304" s="183"/>
      <c r="H304" s="183">
        <f t="shared" si="181"/>
        <v>0</v>
      </c>
      <c r="I304" s="183"/>
      <c r="J304" s="183">
        <f t="shared" si="182"/>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183"/>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184"/>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185"/>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186"/>
        <v>0</v>
      </c>
      <c r="AR304" s="183">
        <f t="shared" si="187"/>
        <v>0</v>
      </c>
    </row>
    <row r="305" spans="2:44" x14ac:dyDescent="0.25">
      <c r="B305" s="181" t="s">
        <v>923</v>
      </c>
      <c r="C305" s="182" t="s">
        <v>924</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180"/>
        <v>0</v>
      </c>
      <c r="G305" s="183"/>
      <c r="H305" s="183">
        <f t="shared" si="181"/>
        <v>0</v>
      </c>
      <c r="I305" s="183"/>
      <c r="J305" s="183">
        <f t="shared" si="182"/>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183"/>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184"/>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185"/>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186"/>
        <v>0</v>
      </c>
      <c r="AR305" s="183">
        <f t="shared" si="187"/>
        <v>0</v>
      </c>
    </row>
    <row r="306" spans="2:44" x14ac:dyDescent="0.25">
      <c r="B306" s="181" t="s">
        <v>925</v>
      </c>
      <c r="C306" s="182" t="s">
        <v>926</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180"/>
        <v>0</v>
      </c>
      <c r="G306" s="183"/>
      <c r="H306" s="183">
        <f t="shared" si="181"/>
        <v>0</v>
      </c>
      <c r="I306" s="183"/>
      <c r="J306" s="183">
        <f t="shared" si="182"/>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183"/>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184"/>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185"/>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186"/>
        <v>0</v>
      </c>
      <c r="AR306" s="183">
        <f t="shared" si="187"/>
        <v>0</v>
      </c>
    </row>
    <row r="307" spans="2:44" x14ac:dyDescent="0.25">
      <c r="B307" s="181" t="s">
        <v>927</v>
      </c>
      <c r="C307" s="182" t="s">
        <v>928</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180"/>
        <v>0</v>
      </c>
      <c r="G307" s="183"/>
      <c r="H307" s="183">
        <f t="shared" si="181"/>
        <v>0</v>
      </c>
      <c r="I307" s="183"/>
      <c r="J307" s="183">
        <f t="shared" si="182"/>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183"/>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184"/>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185"/>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186"/>
        <v>0</v>
      </c>
      <c r="AR307" s="183">
        <f t="shared" si="187"/>
        <v>0</v>
      </c>
    </row>
    <row r="308" spans="2:44" x14ac:dyDescent="0.25">
      <c r="B308" s="181" t="s">
        <v>929</v>
      </c>
      <c r="C308" s="182" t="s">
        <v>930</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180"/>
        <v>0</v>
      </c>
      <c r="G308" s="183"/>
      <c r="H308" s="183">
        <f t="shared" si="181"/>
        <v>0</v>
      </c>
      <c r="I308" s="183"/>
      <c r="J308" s="183">
        <f t="shared" si="182"/>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183"/>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184"/>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185"/>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186"/>
        <v>0</v>
      </c>
      <c r="AR308" s="183">
        <f t="shared" si="187"/>
        <v>0</v>
      </c>
    </row>
    <row r="309" spans="2:44" x14ac:dyDescent="0.25">
      <c r="B309" s="181" t="s">
        <v>931</v>
      </c>
      <c r="C309" s="182" t="s">
        <v>932</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si="180"/>
        <v>0</v>
      </c>
      <c r="G309" s="183"/>
      <c r="H309" s="183">
        <f t="shared" si="181"/>
        <v>0</v>
      </c>
      <c r="I309" s="183"/>
      <c r="J309" s="183">
        <f t="shared" si="182"/>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si="183"/>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si="184"/>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si="185"/>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si="186"/>
        <v>0</v>
      </c>
      <c r="AR309" s="183">
        <f t="shared" si="187"/>
        <v>0</v>
      </c>
    </row>
    <row r="310" spans="2:44" x14ac:dyDescent="0.25">
      <c r="B310" s="181" t="s">
        <v>933</v>
      </c>
      <c r="C310" s="182" t="s">
        <v>934</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180"/>
        <v>0</v>
      </c>
      <c r="G310" s="183"/>
      <c r="H310" s="183">
        <f t="shared" si="181"/>
        <v>0</v>
      </c>
      <c r="I310" s="183"/>
      <c r="J310" s="183">
        <f t="shared" si="182"/>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183"/>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184"/>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185"/>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186"/>
        <v>0</v>
      </c>
      <c r="AR310" s="183">
        <f t="shared" si="187"/>
        <v>0</v>
      </c>
    </row>
    <row r="311" spans="2:44" x14ac:dyDescent="0.25">
      <c r="B311" s="181" t="s">
        <v>935</v>
      </c>
      <c r="C311" s="182" t="s">
        <v>936</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180"/>
        <v>0</v>
      </c>
      <c r="G311" s="183"/>
      <c r="H311" s="183">
        <f t="shared" si="181"/>
        <v>0</v>
      </c>
      <c r="I311" s="183"/>
      <c r="J311" s="183">
        <f t="shared" si="182"/>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183"/>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184"/>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185"/>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186"/>
        <v>0</v>
      </c>
      <c r="AR311" s="183">
        <f t="shared" si="187"/>
        <v>0</v>
      </c>
    </row>
    <row r="312" spans="2:44" x14ac:dyDescent="0.25">
      <c r="B312" s="190" t="s">
        <v>324</v>
      </c>
      <c r="C312" s="191" t="s">
        <v>198</v>
      </c>
      <c r="D312" s="192">
        <f>SUM(D313:D326)</f>
        <v>15500</v>
      </c>
      <c r="E312" s="192">
        <f>SUM(E313:E326)</f>
        <v>0</v>
      </c>
      <c r="F312" s="192">
        <f t="shared" si="180"/>
        <v>15500</v>
      </c>
      <c r="G312" s="192">
        <f>SUM(G313:G326)</f>
        <v>0</v>
      </c>
      <c r="H312" s="192">
        <f t="shared" si="181"/>
        <v>15500</v>
      </c>
      <c r="I312" s="192">
        <f>SUM(I313:I326)</f>
        <v>0</v>
      </c>
      <c r="J312" s="192">
        <f t="shared" si="182"/>
        <v>15500</v>
      </c>
      <c r="K312" s="192">
        <f t="shared" ref="K312:AD312" si="188">SUM(K313:K326)</f>
        <v>0</v>
      </c>
      <c r="L312" s="192">
        <f t="shared" si="188"/>
        <v>0</v>
      </c>
      <c r="M312" s="192">
        <f t="shared" si="188"/>
        <v>0</v>
      </c>
      <c r="N312" s="192">
        <f t="shared" si="188"/>
        <v>0</v>
      </c>
      <c r="O312" s="192">
        <f t="shared" si="188"/>
        <v>0</v>
      </c>
      <c r="P312" s="192">
        <f>SUM(P313:P326)</f>
        <v>0</v>
      </c>
      <c r="Q312" s="192">
        <f>SUM(Q313:Q326)</f>
        <v>15500</v>
      </c>
      <c r="R312" s="192">
        <f t="shared" si="188"/>
        <v>0</v>
      </c>
      <c r="S312" s="192">
        <f t="shared" si="188"/>
        <v>0</v>
      </c>
      <c r="T312" s="192">
        <f>SUM(T313:T326)</f>
        <v>0</v>
      </c>
      <c r="U312" s="192">
        <f t="shared" si="188"/>
        <v>0</v>
      </c>
      <c r="V312" s="192">
        <f t="shared" si="188"/>
        <v>0</v>
      </c>
      <c r="W312" s="192">
        <f>SUM(W313:W326)</f>
        <v>0</v>
      </c>
      <c r="X312" s="192">
        <f t="shared" si="188"/>
        <v>0</v>
      </c>
      <c r="Y312" s="192">
        <f>SUM(Y313:Y326)</f>
        <v>0</v>
      </c>
      <c r="Z312" s="192">
        <f>SUM(Z313:Z326)</f>
        <v>0</v>
      </c>
      <c r="AA312" s="192">
        <f t="shared" si="188"/>
        <v>0</v>
      </c>
      <c r="AB312" s="192">
        <f t="shared" si="188"/>
        <v>0</v>
      </c>
      <c r="AC312" s="192">
        <f t="shared" si="188"/>
        <v>0</v>
      </c>
      <c r="AD312" s="192">
        <f t="shared" si="188"/>
        <v>0</v>
      </c>
      <c r="AE312" s="192">
        <f t="shared" si="183"/>
        <v>0</v>
      </c>
      <c r="AF312" s="192">
        <f>SUM(AF313:AF326)</f>
        <v>0</v>
      </c>
      <c r="AG312" s="192">
        <f>SUM(AG313:AG326)</f>
        <v>15500</v>
      </c>
      <c r="AH312" s="192">
        <f>SUM(AH313:AH326)</f>
        <v>0</v>
      </c>
      <c r="AI312" s="192">
        <f t="shared" si="184"/>
        <v>15500</v>
      </c>
      <c r="AJ312" s="192">
        <f>SUM(AJ313:AJ326)</f>
        <v>0</v>
      </c>
      <c r="AK312" s="192">
        <f>SUM(AK313:AK326)</f>
        <v>0</v>
      </c>
      <c r="AL312" s="192">
        <f>SUM(AL313:AL326)</f>
        <v>0</v>
      </c>
      <c r="AM312" s="192">
        <f t="shared" si="185"/>
        <v>0</v>
      </c>
      <c r="AN312" s="192">
        <f>SUM(AN313:AN326)</f>
        <v>0</v>
      </c>
      <c r="AO312" s="192">
        <f>SUM(AO313:AO326)</f>
        <v>0</v>
      </c>
      <c r="AP312" s="192">
        <f>SUM(AP313:AP326)</f>
        <v>0</v>
      </c>
      <c r="AQ312" s="192">
        <f t="shared" si="186"/>
        <v>0</v>
      </c>
      <c r="AR312" s="192">
        <f t="shared" si="187"/>
        <v>15500</v>
      </c>
    </row>
    <row r="313" spans="2:44" x14ac:dyDescent="0.25">
      <c r="B313" s="181" t="s">
        <v>937</v>
      </c>
      <c r="C313" s="182" t="s">
        <v>938</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180"/>
        <v>0</v>
      </c>
      <c r="G313" s="183"/>
      <c r="H313" s="183">
        <f t="shared" si="181"/>
        <v>0</v>
      </c>
      <c r="I313" s="183"/>
      <c r="J313" s="183">
        <f t="shared" si="182"/>
        <v>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183"/>
        <v>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184"/>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185"/>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186"/>
        <v>0</v>
      </c>
      <c r="AR313" s="183">
        <f t="shared" si="187"/>
        <v>0</v>
      </c>
    </row>
    <row r="314" spans="2:44" x14ac:dyDescent="0.25">
      <c r="B314" s="181" t="s">
        <v>325</v>
      </c>
      <c r="C314" s="182" t="s">
        <v>939</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180"/>
        <v>4000</v>
      </c>
      <c r="G314" s="183"/>
      <c r="H314" s="183">
        <f t="shared" si="181"/>
        <v>4000</v>
      </c>
      <c r="I314" s="183"/>
      <c r="J314" s="183">
        <f t="shared" si="182"/>
        <v>4000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183"/>
        <v>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184"/>
        <v>4000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185"/>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186"/>
        <v>0</v>
      </c>
      <c r="AR314" s="183">
        <f t="shared" si="187"/>
        <v>4000</v>
      </c>
    </row>
    <row r="315" spans="2:44" x14ac:dyDescent="0.25">
      <c r="B315" s="181" t="s">
        <v>940</v>
      </c>
      <c r="C315" s="182" t="s">
        <v>941</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si="180"/>
        <v>0</v>
      </c>
      <c r="G315" s="183"/>
      <c r="H315" s="183">
        <f t="shared" si="181"/>
        <v>0</v>
      </c>
      <c r="I315" s="183"/>
      <c r="J315" s="183">
        <f t="shared" si="182"/>
        <v>0</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si="183"/>
        <v>0</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184"/>
        <v>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185"/>
        <v>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186"/>
        <v>0</v>
      </c>
      <c r="AR315" s="183">
        <f t="shared" si="187"/>
        <v>0</v>
      </c>
    </row>
    <row r="316" spans="2:44" x14ac:dyDescent="0.25">
      <c r="B316" s="181" t="s">
        <v>942</v>
      </c>
      <c r="C316" s="182" t="s">
        <v>943</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180"/>
        <v>0</v>
      </c>
      <c r="G316" s="183"/>
      <c r="H316" s="183">
        <f t="shared" si="181"/>
        <v>0</v>
      </c>
      <c r="I316" s="183"/>
      <c r="J316" s="183">
        <f t="shared" si="182"/>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183"/>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184"/>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185"/>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186"/>
        <v>0</v>
      </c>
      <c r="AR316" s="183">
        <f t="shared" si="187"/>
        <v>0</v>
      </c>
    </row>
    <row r="317" spans="2:44" x14ac:dyDescent="0.25">
      <c r="B317" s="181" t="s">
        <v>944</v>
      </c>
      <c r="C317" s="182" t="s">
        <v>945</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3">
        <f t="shared" si="180"/>
        <v>0</v>
      </c>
      <c r="G317" s="183"/>
      <c r="H317" s="183">
        <f t="shared" si="181"/>
        <v>0</v>
      </c>
      <c r="I317" s="183"/>
      <c r="J317" s="183">
        <f t="shared" si="182"/>
        <v>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3">
        <f t="shared" si="183"/>
        <v>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184"/>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185"/>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186"/>
        <v>0</v>
      </c>
      <c r="AR317" s="183">
        <f t="shared" si="187"/>
        <v>0</v>
      </c>
    </row>
    <row r="318" spans="2:44" x14ac:dyDescent="0.25">
      <c r="B318" s="181" t="s">
        <v>946</v>
      </c>
      <c r="C318" s="182" t="s">
        <v>947</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si="180"/>
        <v>0</v>
      </c>
      <c r="G318" s="183"/>
      <c r="H318" s="183">
        <f t="shared" si="181"/>
        <v>0</v>
      </c>
      <c r="I318" s="183"/>
      <c r="J318" s="183">
        <f t="shared" si="182"/>
        <v>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si="183"/>
        <v>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si="184"/>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si="185"/>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si="186"/>
        <v>0</v>
      </c>
      <c r="AR318" s="183">
        <f t="shared" si="187"/>
        <v>0</v>
      </c>
    </row>
    <row r="319" spans="2:44" x14ac:dyDescent="0.25">
      <c r="B319" s="181" t="s">
        <v>326</v>
      </c>
      <c r="C319" s="182" t="s">
        <v>948</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180"/>
        <v>0</v>
      </c>
      <c r="G319" s="183"/>
      <c r="H319" s="183">
        <f t="shared" si="181"/>
        <v>0</v>
      </c>
      <c r="I319" s="183"/>
      <c r="J319" s="183">
        <f t="shared" si="182"/>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183"/>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184"/>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185"/>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186"/>
        <v>0</v>
      </c>
      <c r="AR319" s="183">
        <f t="shared" si="187"/>
        <v>0</v>
      </c>
    </row>
    <row r="320" spans="2:44" x14ac:dyDescent="0.25">
      <c r="B320" s="181" t="s">
        <v>949</v>
      </c>
      <c r="C320" s="182" t="s">
        <v>950</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si="180"/>
        <v>0</v>
      </c>
      <c r="G320" s="183"/>
      <c r="H320" s="183">
        <f t="shared" si="181"/>
        <v>0</v>
      </c>
      <c r="I320" s="183"/>
      <c r="J320" s="183">
        <f t="shared" si="182"/>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si="183"/>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si="184"/>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si="185"/>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si="186"/>
        <v>0</v>
      </c>
      <c r="AR320" s="183">
        <f t="shared" si="187"/>
        <v>0</v>
      </c>
    </row>
    <row r="321" spans="2:44" x14ac:dyDescent="0.25">
      <c r="B321" s="181" t="s">
        <v>951</v>
      </c>
      <c r="C321" s="182" t="s">
        <v>952</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180"/>
        <v>0</v>
      </c>
      <c r="G321" s="183"/>
      <c r="H321" s="183">
        <f t="shared" si="181"/>
        <v>0</v>
      </c>
      <c r="I321" s="183"/>
      <c r="J321" s="183">
        <f t="shared" si="182"/>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183"/>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184"/>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185"/>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186"/>
        <v>0</v>
      </c>
      <c r="AR321" s="183">
        <f t="shared" si="187"/>
        <v>0</v>
      </c>
    </row>
    <row r="322" spans="2:44" x14ac:dyDescent="0.25">
      <c r="B322" s="181" t="s">
        <v>953</v>
      </c>
      <c r="C322" s="182" t="s">
        <v>954</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11500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3">
        <f t="shared" si="180"/>
        <v>11500</v>
      </c>
      <c r="G322" s="183"/>
      <c r="H322" s="183">
        <f t="shared" si="181"/>
        <v>11500</v>
      </c>
      <c r="I322" s="183"/>
      <c r="J322" s="183">
        <f t="shared" si="182"/>
        <v>11500</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11500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3">
        <f t="shared" si="183"/>
        <v>0</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11500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si="184"/>
        <v>11500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185"/>
        <v>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186"/>
        <v>0</v>
      </c>
      <c r="AR322" s="183">
        <f t="shared" si="187"/>
        <v>11500</v>
      </c>
    </row>
    <row r="323" spans="2:44" x14ac:dyDescent="0.25">
      <c r="B323" s="181" t="s">
        <v>955</v>
      </c>
      <c r="C323" s="182" t="s">
        <v>956</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180"/>
        <v>0</v>
      </c>
      <c r="G323" s="183"/>
      <c r="H323" s="183">
        <f t="shared" si="181"/>
        <v>0</v>
      </c>
      <c r="I323" s="183"/>
      <c r="J323" s="183">
        <f t="shared" si="182"/>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183"/>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184"/>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185"/>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186"/>
        <v>0</v>
      </c>
      <c r="AR323" s="183">
        <f t="shared" si="187"/>
        <v>0</v>
      </c>
    </row>
    <row r="324" spans="2:44" x14ac:dyDescent="0.25">
      <c r="B324" s="181" t="s">
        <v>957</v>
      </c>
      <c r="C324" s="182" t="s">
        <v>958</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180"/>
        <v>0</v>
      </c>
      <c r="G324" s="183"/>
      <c r="H324" s="183">
        <f t="shared" si="181"/>
        <v>0</v>
      </c>
      <c r="I324" s="183"/>
      <c r="J324" s="183">
        <f t="shared" si="182"/>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183"/>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184"/>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185"/>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186"/>
        <v>0</v>
      </c>
      <c r="AR324" s="183">
        <f t="shared" si="187"/>
        <v>0</v>
      </c>
    </row>
    <row r="325" spans="2:44" x14ac:dyDescent="0.25">
      <c r="B325" s="181" t="s">
        <v>959</v>
      </c>
      <c r="C325" s="182" t="s">
        <v>960</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si="180"/>
        <v>0</v>
      </c>
      <c r="G325" s="183"/>
      <c r="H325" s="183">
        <f t="shared" si="181"/>
        <v>0</v>
      </c>
      <c r="I325" s="183"/>
      <c r="J325" s="183">
        <f t="shared" si="182"/>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si="183"/>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si="184"/>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si="185"/>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si="186"/>
        <v>0</v>
      </c>
      <c r="AR325" s="183">
        <f t="shared" si="187"/>
        <v>0</v>
      </c>
    </row>
    <row r="326" spans="2:44" x14ac:dyDescent="0.25">
      <c r="B326" s="181" t="s">
        <v>961</v>
      </c>
      <c r="C326" s="182" t="s">
        <v>962</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si="180"/>
        <v>0</v>
      </c>
      <c r="G326" s="183"/>
      <c r="H326" s="183">
        <f t="shared" si="181"/>
        <v>0</v>
      </c>
      <c r="I326" s="183"/>
      <c r="J326" s="183">
        <f t="shared" si="182"/>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si="183"/>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si="184"/>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si="185"/>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si="186"/>
        <v>0</v>
      </c>
      <c r="AR326" s="183">
        <f t="shared" si="187"/>
        <v>0</v>
      </c>
    </row>
    <row r="327" spans="2:44" x14ac:dyDescent="0.25">
      <c r="B327" s="178" t="s">
        <v>328</v>
      </c>
      <c r="C327" s="179" t="s">
        <v>200</v>
      </c>
      <c r="D327" s="180">
        <f>D328+D345+D383+D389</f>
        <v>64000</v>
      </c>
      <c r="E327" s="180">
        <f>E328+E345+E383+E389</f>
        <v>1020000</v>
      </c>
      <c r="F327" s="180">
        <f t="shared" si="180"/>
        <v>1084000</v>
      </c>
      <c r="G327" s="180">
        <f>G328+G345+G383+G389</f>
        <v>0</v>
      </c>
      <c r="H327" s="180">
        <f t="shared" si="181"/>
        <v>1084000</v>
      </c>
      <c r="I327" s="180">
        <f>I328+I345+I383+I389</f>
        <v>0</v>
      </c>
      <c r="J327" s="180">
        <f t="shared" si="182"/>
        <v>1084000</v>
      </c>
      <c r="K327" s="180">
        <f t="shared" ref="K327:AD327" si="189">K328+K345+K383+K389</f>
        <v>0</v>
      </c>
      <c r="L327" s="180">
        <f t="shared" si="189"/>
        <v>0</v>
      </c>
      <c r="M327" s="180">
        <f t="shared" si="189"/>
        <v>0</v>
      </c>
      <c r="N327" s="180">
        <f t="shared" si="189"/>
        <v>0</v>
      </c>
      <c r="O327" s="180">
        <f t="shared" si="189"/>
        <v>0</v>
      </c>
      <c r="P327" s="180">
        <f t="shared" si="189"/>
        <v>0</v>
      </c>
      <c r="Q327" s="180">
        <f t="shared" si="189"/>
        <v>0</v>
      </c>
      <c r="R327" s="180">
        <f t="shared" si="189"/>
        <v>0</v>
      </c>
      <c r="S327" s="180">
        <f t="shared" si="189"/>
        <v>0</v>
      </c>
      <c r="T327" s="180">
        <f>T328+T345+T383+T389</f>
        <v>0</v>
      </c>
      <c r="U327" s="180">
        <f t="shared" si="189"/>
        <v>0</v>
      </c>
      <c r="V327" s="180">
        <f t="shared" si="189"/>
        <v>0</v>
      </c>
      <c r="W327" s="180">
        <f t="shared" si="189"/>
        <v>0</v>
      </c>
      <c r="X327" s="180">
        <f t="shared" si="189"/>
        <v>0</v>
      </c>
      <c r="Y327" s="180">
        <f>Y328+Y345+Y383+Y389</f>
        <v>222000</v>
      </c>
      <c r="Z327" s="180">
        <f>Z328+Z345+Z383+Z389</f>
        <v>0</v>
      </c>
      <c r="AA327" s="180">
        <f t="shared" si="189"/>
        <v>862000</v>
      </c>
      <c r="AB327" s="180">
        <f t="shared" si="189"/>
        <v>0</v>
      </c>
      <c r="AC327" s="180">
        <f t="shared" si="189"/>
        <v>153000</v>
      </c>
      <c r="AD327" s="180">
        <f t="shared" si="189"/>
        <v>703000</v>
      </c>
      <c r="AE327" s="180">
        <f t="shared" si="183"/>
        <v>856000</v>
      </c>
      <c r="AF327" s="180">
        <f>AF328+AF345+AF383+AF389</f>
        <v>152000</v>
      </c>
      <c r="AG327" s="180">
        <f>AG328+AG345+AG383+AG389</f>
        <v>31000</v>
      </c>
      <c r="AH327" s="180">
        <f>AH328+AH345+AH383+AH389</f>
        <v>0</v>
      </c>
      <c r="AI327" s="180">
        <f t="shared" si="184"/>
        <v>183000</v>
      </c>
      <c r="AJ327" s="180">
        <f>AJ328+AJ345+AJ383+AJ389</f>
        <v>45000</v>
      </c>
      <c r="AK327" s="180">
        <f>AK328+AK345+AK383+AK389</f>
        <v>0</v>
      </c>
      <c r="AL327" s="180">
        <f>AL328+AL345+AL383+AL389</f>
        <v>0</v>
      </c>
      <c r="AM327" s="180">
        <f t="shared" si="185"/>
        <v>45000</v>
      </c>
      <c r="AN327" s="180">
        <f>AN328+AN345+AN383+AN389</f>
        <v>0</v>
      </c>
      <c r="AO327" s="180">
        <f>AO328+AO345+AO383+AO389</f>
        <v>0</v>
      </c>
      <c r="AP327" s="180">
        <f>AP328+AP345+AP383+AP389</f>
        <v>0</v>
      </c>
      <c r="AQ327" s="180">
        <f t="shared" si="186"/>
        <v>0</v>
      </c>
      <c r="AR327" s="180">
        <f t="shared" si="187"/>
        <v>1084000</v>
      </c>
    </row>
    <row r="328" spans="2:44" x14ac:dyDescent="0.25">
      <c r="B328" s="190" t="s">
        <v>329</v>
      </c>
      <c r="C328" s="191" t="s">
        <v>201</v>
      </c>
      <c r="D328" s="192">
        <f>SUM(D329:D344)</f>
        <v>0</v>
      </c>
      <c r="E328" s="192">
        <f>SUM(E329:E344)</f>
        <v>0</v>
      </c>
      <c r="F328" s="192">
        <f t="shared" si="180"/>
        <v>0</v>
      </c>
      <c r="G328" s="192">
        <f>SUM(G329:G344)</f>
        <v>0</v>
      </c>
      <c r="H328" s="192">
        <f t="shared" si="181"/>
        <v>0</v>
      </c>
      <c r="I328" s="192">
        <f>SUM(I329:I344)</f>
        <v>0</v>
      </c>
      <c r="J328" s="192">
        <f t="shared" si="182"/>
        <v>0</v>
      </c>
      <c r="K328" s="192">
        <f t="shared" ref="K328:AD328" si="190">SUM(K329:K344)</f>
        <v>0</v>
      </c>
      <c r="L328" s="192">
        <f t="shared" si="190"/>
        <v>0</v>
      </c>
      <c r="M328" s="192">
        <f t="shared" si="190"/>
        <v>0</v>
      </c>
      <c r="N328" s="192">
        <f t="shared" si="190"/>
        <v>0</v>
      </c>
      <c r="O328" s="192">
        <f t="shared" si="190"/>
        <v>0</v>
      </c>
      <c r="P328" s="192">
        <f t="shared" si="190"/>
        <v>0</v>
      </c>
      <c r="Q328" s="192">
        <f t="shared" si="190"/>
        <v>0</v>
      </c>
      <c r="R328" s="192">
        <f t="shared" si="190"/>
        <v>0</v>
      </c>
      <c r="S328" s="192">
        <f t="shared" si="190"/>
        <v>0</v>
      </c>
      <c r="T328" s="192">
        <f>SUM(T329:T344)</f>
        <v>0</v>
      </c>
      <c r="U328" s="192">
        <f t="shared" si="190"/>
        <v>0</v>
      </c>
      <c r="V328" s="192">
        <f t="shared" si="190"/>
        <v>0</v>
      </c>
      <c r="W328" s="192">
        <f t="shared" si="190"/>
        <v>0</v>
      </c>
      <c r="X328" s="192">
        <f t="shared" si="190"/>
        <v>0</v>
      </c>
      <c r="Y328" s="192">
        <f>SUM(Y329:Y344)</f>
        <v>0</v>
      </c>
      <c r="Z328" s="192">
        <f>SUM(Z329:Z344)</f>
        <v>0</v>
      </c>
      <c r="AA328" s="192">
        <f t="shared" si="190"/>
        <v>0</v>
      </c>
      <c r="AB328" s="192">
        <f t="shared" si="190"/>
        <v>0</v>
      </c>
      <c r="AC328" s="192">
        <f t="shared" si="190"/>
        <v>0</v>
      </c>
      <c r="AD328" s="192">
        <f t="shared" si="190"/>
        <v>0</v>
      </c>
      <c r="AE328" s="192">
        <f t="shared" si="183"/>
        <v>0</v>
      </c>
      <c r="AF328" s="192">
        <f>SUM(AF329:AF344)</f>
        <v>0</v>
      </c>
      <c r="AG328" s="192">
        <f>SUM(AG329:AG344)</f>
        <v>0</v>
      </c>
      <c r="AH328" s="192">
        <f>SUM(AH329:AH344)</f>
        <v>0</v>
      </c>
      <c r="AI328" s="192">
        <f t="shared" si="184"/>
        <v>0</v>
      </c>
      <c r="AJ328" s="192">
        <f>SUM(AJ329:AJ344)</f>
        <v>0</v>
      </c>
      <c r="AK328" s="192">
        <f>SUM(AK329:AK344)</f>
        <v>0</v>
      </c>
      <c r="AL328" s="192">
        <f>SUM(AL329:AL344)</f>
        <v>0</v>
      </c>
      <c r="AM328" s="192">
        <f t="shared" si="185"/>
        <v>0</v>
      </c>
      <c r="AN328" s="192">
        <f>SUM(AN329:AN344)</f>
        <v>0</v>
      </c>
      <c r="AO328" s="192">
        <f>SUM(AO329:AO344)</f>
        <v>0</v>
      </c>
      <c r="AP328" s="192">
        <f>SUM(AP329:AP344)</f>
        <v>0</v>
      </c>
      <c r="AQ328" s="192">
        <f t="shared" si="186"/>
        <v>0</v>
      </c>
      <c r="AR328" s="192">
        <f t="shared" si="187"/>
        <v>0</v>
      </c>
    </row>
    <row r="329" spans="2:44" x14ac:dyDescent="0.25">
      <c r="B329" s="181" t="s">
        <v>330</v>
      </c>
      <c r="C329" s="182" t="s">
        <v>202</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180"/>
        <v>0</v>
      </c>
      <c r="G329" s="183"/>
      <c r="H329" s="183">
        <f t="shared" si="181"/>
        <v>0</v>
      </c>
      <c r="I329" s="183"/>
      <c r="J329" s="183">
        <f t="shared" si="182"/>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183"/>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184"/>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185"/>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186"/>
        <v>0</v>
      </c>
      <c r="AR329" s="183">
        <f t="shared" si="187"/>
        <v>0</v>
      </c>
    </row>
    <row r="330" spans="2:44" x14ac:dyDescent="0.25">
      <c r="B330" s="181" t="s">
        <v>344</v>
      </c>
      <c r="C330" s="182" t="s">
        <v>212</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 t="shared" si="180"/>
        <v>0</v>
      </c>
      <c r="G330" s="183"/>
      <c r="H330" s="183">
        <f t="shared" si="181"/>
        <v>0</v>
      </c>
      <c r="I330" s="183"/>
      <c r="J330" s="183">
        <f t="shared" si="182"/>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 t="shared" si="183"/>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 t="shared" si="184"/>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 t="shared" si="185"/>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 t="shared" si="186"/>
        <v>0</v>
      </c>
      <c r="AR330" s="183">
        <f t="shared" si="187"/>
        <v>0</v>
      </c>
    </row>
    <row r="331" spans="2:44" x14ac:dyDescent="0.25">
      <c r="B331" s="181" t="s">
        <v>963</v>
      </c>
      <c r="C331" s="182" t="s">
        <v>964</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 t="shared" si="180"/>
        <v>0</v>
      </c>
      <c r="G331" s="183"/>
      <c r="H331" s="183">
        <f t="shared" si="181"/>
        <v>0</v>
      </c>
      <c r="I331" s="183"/>
      <c r="J331" s="183">
        <f t="shared" si="182"/>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 t="shared" si="183"/>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 t="shared" si="184"/>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 t="shared" si="185"/>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 t="shared" si="186"/>
        <v>0</v>
      </c>
      <c r="AR331" s="183">
        <f t="shared" si="187"/>
        <v>0</v>
      </c>
    </row>
    <row r="332" spans="2:44" x14ac:dyDescent="0.25">
      <c r="B332" s="181" t="s">
        <v>965</v>
      </c>
      <c r="C332" s="182" t="s">
        <v>966</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si="180"/>
        <v>0</v>
      </c>
      <c r="G332" s="183"/>
      <c r="H332" s="183">
        <f t="shared" si="181"/>
        <v>0</v>
      </c>
      <c r="I332" s="183"/>
      <c r="J332" s="183">
        <f t="shared" si="182"/>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si="183"/>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si="184"/>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si="185"/>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si="186"/>
        <v>0</v>
      </c>
      <c r="AR332" s="183">
        <f t="shared" si="187"/>
        <v>0</v>
      </c>
    </row>
    <row r="333" spans="2:44" x14ac:dyDescent="0.25">
      <c r="B333" s="181" t="s">
        <v>967</v>
      </c>
      <c r="C333" s="182" t="s">
        <v>968</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ref="F333:F362" si="191">D333+E333</f>
        <v>0</v>
      </c>
      <c r="G333" s="183"/>
      <c r="H333" s="183">
        <f t="shared" ref="H333:H362" si="192">F333-G333</f>
        <v>0</v>
      </c>
      <c r="I333" s="183"/>
      <c r="J333" s="183">
        <f t="shared" ref="J333:J362" si="193">F333-I333</f>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ref="AE333:AE362" si="194">AB333+AC333+AD333</f>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ref="AI333:AI362" si="195">AF333+AG333+AH333</f>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ref="AM333:AM362" si="196">AJ333+AK333+AL333</f>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ref="AQ333:AQ362" si="197">AN333+AO333+AP333</f>
        <v>0</v>
      </c>
      <c r="AR333" s="183">
        <f t="shared" ref="AR333:AR362" si="198">AE333+AI333+AM333+AQ333</f>
        <v>0</v>
      </c>
    </row>
    <row r="334" spans="2:44" x14ac:dyDescent="0.25">
      <c r="B334" s="181" t="s">
        <v>969</v>
      </c>
      <c r="C334" s="182" t="s">
        <v>970</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191"/>
        <v>0</v>
      </c>
      <c r="G334" s="183"/>
      <c r="H334" s="183">
        <f t="shared" si="192"/>
        <v>0</v>
      </c>
      <c r="I334" s="183"/>
      <c r="J334" s="183">
        <f t="shared" si="193"/>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194"/>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195"/>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196"/>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197"/>
        <v>0</v>
      </c>
      <c r="AR334" s="183">
        <f t="shared" si="198"/>
        <v>0</v>
      </c>
    </row>
    <row r="335" spans="2:44" x14ac:dyDescent="0.25">
      <c r="B335" s="181" t="s">
        <v>345</v>
      </c>
      <c r="C335" s="182" t="s">
        <v>213</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 t="shared" si="191"/>
        <v>0</v>
      </c>
      <c r="G335" s="183"/>
      <c r="H335" s="183">
        <f t="shared" si="192"/>
        <v>0</v>
      </c>
      <c r="I335" s="183"/>
      <c r="J335" s="183">
        <f t="shared" si="193"/>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 t="shared" si="194"/>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 t="shared" si="195"/>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 t="shared" si="196"/>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 t="shared" si="197"/>
        <v>0</v>
      </c>
      <c r="AR335" s="183">
        <f t="shared" si="198"/>
        <v>0</v>
      </c>
    </row>
    <row r="336" spans="2:44" x14ac:dyDescent="0.25">
      <c r="B336" s="181" t="s">
        <v>971</v>
      </c>
      <c r="C336" s="182" t="s">
        <v>972</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si="191"/>
        <v>0</v>
      </c>
      <c r="G336" s="183"/>
      <c r="H336" s="183">
        <f t="shared" si="192"/>
        <v>0</v>
      </c>
      <c r="I336" s="183"/>
      <c r="J336" s="183">
        <f t="shared" si="193"/>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si="194"/>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si="195"/>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si="196"/>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si="197"/>
        <v>0</v>
      </c>
      <c r="AR336" s="183">
        <f t="shared" si="198"/>
        <v>0</v>
      </c>
    </row>
    <row r="337" spans="2:44" x14ac:dyDescent="0.25">
      <c r="B337" s="181" t="s">
        <v>346</v>
      </c>
      <c r="C337" s="182" t="s">
        <v>214</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191"/>
        <v>0</v>
      </c>
      <c r="G337" s="183"/>
      <c r="H337" s="183">
        <f t="shared" si="192"/>
        <v>0</v>
      </c>
      <c r="I337" s="183"/>
      <c r="J337" s="183">
        <f t="shared" si="193"/>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194"/>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195"/>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196"/>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197"/>
        <v>0</v>
      </c>
      <c r="AR337" s="183">
        <f t="shared" si="198"/>
        <v>0</v>
      </c>
    </row>
    <row r="338" spans="2:44" x14ac:dyDescent="0.25">
      <c r="B338" s="181" t="s">
        <v>973</v>
      </c>
      <c r="C338" s="182" t="s">
        <v>974</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 t="shared" si="191"/>
        <v>0</v>
      </c>
      <c r="G338" s="183"/>
      <c r="H338" s="183">
        <f t="shared" si="192"/>
        <v>0</v>
      </c>
      <c r="I338" s="183"/>
      <c r="J338" s="183">
        <f t="shared" si="193"/>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 t="shared" si="194"/>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 t="shared" si="195"/>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 t="shared" si="196"/>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 t="shared" si="197"/>
        <v>0</v>
      </c>
      <c r="AR338" s="183">
        <f t="shared" si="198"/>
        <v>0</v>
      </c>
    </row>
    <row r="339" spans="2:44" x14ac:dyDescent="0.25">
      <c r="B339" s="181" t="s">
        <v>331</v>
      </c>
      <c r="C339" s="182" t="s">
        <v>203</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 t="shared" si="191"/>
        <v>0</v>
      </c>
      <c r="G339" s="183"/>
      <c r="H339" s="183">
        <f t="shared" si="192"/>
        <v>0</v>
      </c>
      <c r="I339" s="183"/>
      <c r="J339" s="183">
        <f t="shared" si="193"/>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 t="shared" si="194"/>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 t="shared" si="195"/>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 t="shared" si="196"/>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 t="shared" si="197"/>
        <v>0</v>
      </c>
      <c r="AR339" s="183">
        <f t="shared" si="198"/>
        <v>0</v>
      </c>
    </row>
    <row r="340" spans="2:44" x14ac:dyDescent="0.25">
      <c r="B340" s="181" t="s">
        <v>975</v>
      </c>
      <c r="C340" s="182" t="s">
        <v>976</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si="191"/>
        <v>0</v>
      </c>
      <c r="G340" s="183"/>
      <c r="H340" s="183">
        <f t="shared" si="192"/>
        <v>0</v>
      </c>
      <c r="I340" s="183"/>
      <c r="J340" s="183">
        <f t="shared" si="193"/>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si="194"/>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si="195"/>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si="196"/>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si="197"/>
        <v>0</v>
      </c>
      <c r="AR340" s="183">
        <f t="shared" si="198"/>
        <v>0</v>
      </c>
    </row>
    <row r="341" spans="2:44" x14ac:dyDescent="0.25">
      <c r="B341" s="181" t="s">
        <v>347</v>
      </c>
      <c r="C341" s="182" t="s">
        <v>215</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 t="shared" si="191"/>
        <v>0</v>
      </c>
      <c r="G341" s="183"/>
      <c r="H341" s="183">
        <f t="shared" si="192"/>
        <v>0</v>
      </c>
      <c r="I341" s="183"/>
      <c r="J341" s="183">
        <f t="shared" si="193"/>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 t="shared" si="194"/>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 t="shared" si="195"/>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 t="shared" si="196"/>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 t="shared" si="197"/>
        <v>0</v>
      </c>
      <c r="AR341" s="183">
        <f t="shared" si="198"/>
        <v>0</v>
      </c>
    </row>
    <row r="342" spans="2:44" x14ac:dyDescent="0.25">
      <c r="B342" s="181" t="s">
        <v>977</v>
      </c>
      <c r="C342" s="182" t="s">
        <v>978</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 t="shared" si="191"/>
        <v>0</v>
      </c>
      <c r="G342" s="183"/>
      <c r="H342" s="183">
        <f t="shared" si="192"/>
        <v>0</v>
      </c>
      <c r="I342" s="183"/>
      <c r="J342" s="183">
        <f t="shared" si="193"/>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 t="shared" si="194"/>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 t="shared" si="195"/>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 t="shared" si="196"/>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 t="shared" si="197"/>
        <v>0</v>
      </c>
      <c r="AR342" s="183">
        <f t="shared" si="198"/>
        <v>0</v>
      </c>
    </row>
    <row r="343" spans="2:44" x14ac:dyDescent="0.25">
      <c r="B343" s="181" t="s">
        <v>979</v>
      </c>
      <c r="C343" s="182" t="s">
        <v>980</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si="191"/>
        <v>0</v>
      </c>
      <c r="G343" s="183"/>
      <c r="H343" s="183">
        <f t="shared" si="192"/>
        <v>0</v>
      </c>
      <c r="I343" s="183"/>
      <c r="J343" s="183">
        <f t="shared" si="193"/>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si="194"/>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si="195"/>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si="196"/>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si="197"/>
        <v>0</v>
      </c>
      <c r="AR343" s="183">
        <f t="shared" si="198"/>
        <v>0</v>
      </c>
    </row>
    <row r="344" spans="2:44" x14ac:dyDescent="0.25">
      <c r="B344" s="181" t="s">
        <v>348</v>
      </c>
      <c r="C344" s="182" t="s">
        <v>216</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 t="shared" si="191"/>
        <v>0</v>
      </c>
      <c r="G344" s="183"/>
      <c r="H344" s="183">
        <f t="shared" si="192"/>
        <v>0</v>
      </c>
      <c r="I344" s="183"/>
      <c r="J344" s="183">
        <f t="shared" si="193"/>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 t="shared" si="194"/>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 t="shared" si="195"/>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 t="shared" si="196"/>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 t="shared" si="197"/>
        <v>0</v>
      </c>
      <c r="AR344" s="183">
        <f t="shared" si="198"/>
        <v>0</v>
      </c>
    </row>
    <row r="345" spans="2:44" x14ac:dyDescent="0.25">
      <c r="B345" s="190" t="s">
        <v>332</v>
      </c>
      <c r="C345" s="191" t="s">
        <v>204</v>
      </c>
      <c r="D345" s="192">
        <f>SUM(D346:D382)</f>
        <v>64000</v>
      </c>
      <c r="E345" s="192">
        <f>SUM(E346:E382)</f>
        <v>840000</v>
      </c>
      <c r="F345" s="192">
        <f t="shared" si="191"/>
        <v>904000</v>
      </c>
      <c r="G345" s="192">
        <f>SUM(G346:G382)</f>
        <v>0</v>
      </c>
      <c r="H345" s="192">
        <f t="shared" si="192"/>
        <v>904000</v>
      </c>
      <c r="I345" s="192">
        <f>SUM(I346:I382)</f>
        <v>0</v>
      </c>
      <c r="J345" s="192">
        <f t="shared" si="193"/>
        <v>904000</v>
      </c>
      <c r="K345" s="192">
        <f t="shared" ref="K345:AD345" si="199">SUM(K346:K382)</f>
        <v>0</v>
      </c>
      <c r="L345" s="192">
        <f t="shared" si="199"/>
        <v>0</v>
      </c>
      <c r="M345" s="192">
        <f t="shared" si="199"/>
        <v>0</v>
      </c>
      <c r="N345" s="192">
        <f t="shared" si="199"/>
        <v>0</v>
      </c>
      <c r="O345" s="192">
        <f t="shared" si="199"/>
        <v>0</v>
      </c>
      <c r="P345" s="192">
        <f t="shared" si="199"/>
        <v>0</v>
      </c>
      <c r="Q345" s="192">
        <f t="shared" si="199"/>
        <v>0</v>
      </c>
      <c r="R345" s="192">
        <f t="shared" si="199"/>
        <v>0</v>
      </c>
      <c r="S345" s="192">
        <f t="shared" si="199"/>
        <v>0</v>
      </c>
      <c r="T345" s="192">
        <f>SUM(T346:T382)</f>
        <v>0</v>
      </c>
      <c r="U345" s="192">
        <f t="shared" si="199"/>
        <v>0</v>
      </c>
      <c r="V345" s="192">
        <f t="shared" si="199"/>
        <v>0</v>
      </c>
      <c r="W345" s="192">
        <f t="shared" si="199"/>
        <v>0</v>
      </c>
      <c r="X345" s="192">
        <f t="shared" si="199"/>
        <v>0</v>
      </c>
      <c r="Y345" s="192">
        <f>SUM(Y346:Y382)</f>
        <v>222000</v>
      </c>
      <c r="Z345" s="192">
        <f>SUM(Z346:Z382)</f>
        <v>0</v>
      </c>
      <c r="AA345" s="192">
        <f t="shared" si="199"/>
        <v>682000</v>
      </c>
      <c r="AB345" s="192">
        <f t="shared" si="199"/>
        <v>0</v>
      </c>
      <c r="AC345" s="192">
        <f t="shared" si="199"/>
        <v>153000</v>
      </c>
      <c r="AD345" s="192">
        <f t="shared" si="199"/>
        <v>523000</v>
      </c>
      <c r="AE345" s="192">
        <f t="shared" si="194"/>
        <v>676000</v>
      </c>
      <c r="AF345" s="192">
        <f>SUM(AF346:AF382)</f>
        <v>152000</v>
      </c>
      <c r="AG345" s="192">
        <f>SUM(AG346:AG382)</f>
        <v>31000</v>
      </c>
      <c r="AH345" s="192">
        <f>SUM(AH346:AH382)</f>
        <v>0</v>
      </c>
      <c r="AI345" s="192">
        <f t="shared" si="195"/>
        <v>183000</v>
      </c>
      <c r="AJ345" s="192">
        <f>SUM(AJ346:AJ382)</f>
        <v>45000</v>
      </c>
      <c r="AK345" s="192">
        <f>SUM(AK346:AK382)</f>
        <v>0</v>
      </c>
      <c r="AL345" s="192">
        <f>SUM(AL346:AL382)</f>
        <v>0</v>
      </c>
      <c r="AM345" s="192">
        <f t="shared" si="196"/>
        <v>45000</v>
      </c>
      <c r="AN345" s="192">
        <f>SUM(AN346:AN382)</f>
        <v>0</v>
      </c>
      <c r="AO345" s="192">
        <f>SUM(AO346:AO382)</f>
        <v>0</v>
      </c>
      <c r="AP345" s="192">
        <f>SUM(AP346:AP382)</f>
        <v>0</v>
      </c>
      <c r="AQ345" s="192">
        <f t="shared" si="197"/>
        <v>0</v>
      </c>
      <c r="AR345" s="192">
        <f t="shared" si="198"/>
        <v>904000</v>
      </c>
    </row>
    <row r="346" spans="2:44" x14ac:dyDescent="0.25">
      <c r="B346" s="181" t="s">
        <v>333</v>
      </c>
      <c r="C346" s="182" t="s">
        <v>205</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191"/>
        <v>0</v>
      </c>
      <c r="G346" s="183"/>
      <c r="H346" s="183">
        <f t="shared" si="192"/>
        <v>0</v>
      </c>
      <c r="I346" s="183"/>
      <c r="J346" s="183">
        <f t="shared" si="193"/>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194"/>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195"/>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196"/>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197"/>
        <v>0</v>
      </c>
      <c r="AR346" s="183">
        <f t="shared" si="198"/>
        <v>0</v>
      </c>
    </row>
    <row r="347" spans="2:44" x14ac:dyDescent="0.25">
      <c r="B347" s="181" t="s">
        <v>981</v>
      </c>
      <c r="C347" s="182" t="s">
        <v>982</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191"/>
        <v>0</v>
      </c>
      <c r="G347" s="183"/>
      <c r="H347" s="183">
        <f t="shared" si="192"/>
        <v>0</v>
      </c>
      <c r="I347" s="183"/>
      <c r="J347" s="183">
        <f t="shared" si="193"/>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194"/>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195"/>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196"/>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197"/>
        <v>0</v>
      </c>
      <c r="AR347" s="183">
        <f t="shared" si="198"/>
        <v>0</v>
      </c>
    </row>
    <row r="348" spans="2:44" x14ac:dyDescent="0.25">
      <c r="B348" s="181" t="s">
        <v>983</v>
      </c>
      <c r="C348" s="182" t="s">
        <v>982</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198000</v>
      </c>
      <c r="F348" s="183">
        <f t="shared" si="191"/>
        <v>198000</v>
      </c>
      <c r="G348" s="183"/>
      <c r="H348" s="183">
        <f t="shared" si="192"/>
        <v>198000</v>
      </c>
      <c r="I348" s="183"/>
      <c r="J348" s="183">
        <f t="shared" si="193"/>
        <v>198000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198000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142000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56000</v>
      </c>
      <c r="AE348" s="183">
        <f t="shared" si="194"/>
        <v>198000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195"/>
        <v>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196"/>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3">
        <f t="shared" si="197"/>
        <v>0</v>
      </c>
      <c r="AR348" s="183">
        <f t="shared" si="198"/>
        <v>198000</v>
      </c>
    </row>
    <row r="349" spans="2:44" x14ac:dyDescent="0.25">
      <c r="B349" s="181" t="s">
        <v>984</v>
      </c>
      <c r="C349" s="182" t="s">
        <v>985</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32000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192000</v>
      </c>
      <c r="F349" s="183">
        <f t="shared" si="191"/>
        <v>224000</v>
      </c>
      <c r="G349" s="183"/>
      <c r="H349" s="183">
        <f t="shared" si="192"/>
        <v>224000</v>
      </c>
      <c r="I349" s="183"/>
      <c r="J349" s="183">
        <f t="shared" si="193"/>
        <v>224000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224000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11000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66000</v>
      </c>
      <c r="AE349" s="183">
        <f t="shared" si="194"/>
        <v>77000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106000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195"/>
        <v>122000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196"/>
        <v>25000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197"/>
        <v>0</v>
      </c>
      <c r="AR349" s="183">
        <f t="shared" si="198"/>
        <v>224000</v>
      </c>
    </row>
    <row r="350" spans="2:44" x14ac:dyDescent="0.25">
      <c r="B350" s="181" t="s">
        <v>986</v>
      </c>
      <c r="C350" s="182" t="s">
        <v>985</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26000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59000</v>
      </c>
      <c r="F350" s="183">
        <f t="shared" si="191"/>
        <v>85000</v>
      </c>
      <c r="G350" s="183"/>
      <c r="H350" s="183">
        <f t="shared" si="192"/>
        <v>85000</v>
      </c>
      <c r="I350" s="183"/>
      <c r="J350" s="183">
        <f t="shared" si="193"/>
        <v>85000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24000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61000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24000</v>
      </c>
      <c r="AE350" s="183">
        <f t="shared" si="194"/>
        <v>24000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46000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195"/>
        <v>61000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196"/>
        <v>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197"/>
        <v>0</v>
      </c>
      <c r="AR350" s="183">
        <f t="shared" si="198"/>
        <v>85000</v>
      </c>
    </row>
    <row r="351" spans="2:44" x14ac:dyDescent="0.25">
      <c r="B351" s="181" t="s">
        <v>987</v>
      </c>
      <c r="C351" s="182" t="s">
        <v>988</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191"/>
        <v>0</v>
      </c>
      <c r="G351" s="183"/>
      <c r="H351" s="183">
        <f t="shared" si="192"/>
        <v>0</v>
      </c>
      <c r="I351" s="183"/>
      <c r="J351" s="183">
        <f t="shared" si="193"/>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194"/>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195"/>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196"/>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197"/>
        <v>0</v>
      </c>
      <c r="AR351" s="183">
        <f t="shared" si="198"/>
        <v>0</v>
      </c>
    </row>
    <row r="352" spans="2:44" x14ac:dyDescent="0.25">
      <c r="B352" s="181" t="s">
        <v>989</v>
      </c>
      <c r="C352" s="182" t="s">
        <v>990</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191"/>
        <v>0</v>
      </c>
      <c r="G352" s="183"/>
      <c r="H352" s="183">
        <f t="shared" si="192"/>
        <v>0</v>
      </c>
      <c r="I352" s="183"/>
      <c r="J352" s="183">
        <f t="shared" si="193"/>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194"/>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195"/>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196"/>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197"/>
        <v>0</v>
      </c>
      <c r="AR352" s="183">
        <f t="shared" si="198"/>
        <v>0</v>
      </c>
    </row>
    <row r="353" spans="2:44" x14ac:dyDescent="0.25">
      <c r="B353" s="181" t="s">
        <v>991</v>
      </c>
      <c r="C353" s="182" t="s">
        <v>992</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191"/>
        <v>0</v>
      </c>
      <c r="G353" s="183"/>
      <c r="H353" s="183">
        <f t="shared" si="192"/>
        <v>0</v>
      </c>
      <c r="I353" s="183"/>
      <c r="J353" s="183">
        <f t="shared" si="193"/>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194"/>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195"/>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196"/>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197"/>
        <v>0</v>
      </c>
      <c r="AR353" s="183">
        <f t="shared" si="198"/>
        <v>0</v>
      </c>
    </row>
    <row r="354" spans="2:44" x14ac:dyDescent="0.25">
      <c r="B354" s="181" t="s">
        <v>993</v>
      </c>
      <c r="C354" s="182" t="s">
        <v>994</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191"/>
        <v>0</v>
      </c>
      <c r="G354" s="183"/>
      <c r="H354" s="183">
        <f t="shared" si="192"/>
        <v>0</v>
      </c>
      <c r="I354" s="183"/>
      <c r="J354" s="183">
        <f t="shared" si="193"/>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194"/>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195"/>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196"/>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197"/>
        <v>0</v>
      </c>
      <c r="AR354" s="183">
        <f t="shared" si="198"/>
        <v>0</v>
      </c>
    </row>
    <row r="355" spans="2:44" x14ac:dyDescent="0.25">
      <c r="B355" s="181" t="s">
        <v>995</v>
      </c>
      <c r="C355" s="182" t="s">
        <v>996</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191"/>
        <v>0</v>
      </c>
      <c r="G355" s="183"/>
      <c r="H355" s="183">
        <f t="shared" si="192"/>
        <v>0</v>
      </c>
      <c r="I355" s="183"/>
      <c r="J355" s="183">
        <f t="shared" si="193"/>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194"/>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195"/>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196"/>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197"/>
        <v>0</v>
      </c>
      <c r="AR355" s="183">
        <f t="shared" si="198"/>
        <v>0</v>
      </c>
    </row>
    <row r="356" spans="2:44" x14ac:dyDescent="0.25">
      <c r="B356" s="181" t="s">
        <v>334</v>
      </c>
      <c r="C356" s="182" t="s">
        <v>997</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191"/>
        <v>0</v>
      </c>
      <c r="G356" s="183"/>
      <c r="H356" s="183">
        <f t="shared" si="192"/>
        <v>0</v>
      </c>
      <c r="I356" s="183"/>
      <c r="J356" s="183">
        <f t="shared" si="193"/>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194"/>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195"/>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196"/>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197"/>
        <v>0</v>
      </c>
      <c r="AR356" s="183">
        <f t="shared" si="198"/>
        <v>0</v>
      </c>
    </row>
    <row r="357" spans="2:44" x14ac:dyDescent="0.25">
      <c r="B357" s="181" t="s">
        <v>998</v>
      </c>
      <c r="C357" s="182" t="s">
        <v>997</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3">
        <f t="shared" si="191"/>
        <v>0</v>
      </c>
      <c r="G357" s="183"/>
      <c r="H357" s="183">
        <f t="shared" si="192"/>
        <v>0</v>
      </c>
      <c r="I357" s="183"/>
      <c r="J357" s="183">
        <f t="shared" si="193"/>
        <v>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3">
        <f t="shared" si="194"/>
        <v>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195"/>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196"/>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197"/>
        <v>0</v>
      </c>
      <c r="AR357" s="183">
        <f t="shared" si="198"/>
        <v>0</v>
      </c>
    </row>
    <row r="358" spans="2:44" x14ac:dyDescent="0.25">
      <c r="B358" s="181" t="s">
        <v>999</v>
      </c>
      <c r="C358" s="182" t="s">
        <v>1000</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191"/>
        <v>0</v>
      </c>
      <c r="G358" s="183"/>
      <c r="H358" s="183">
        <f t="shared" si="192"/>
        <v>0</v>
      </c>
      <c r="I358" s="183"/>
      <c r="J358" s="183">
        <f t="shared" si="193"/>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194"/>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195"/>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196"/>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197"/>
        <v>0</v>
      </c>
      <c r="AR358" s="183">
        <f t="shared" si="198"/>
        <v>0</v>
      </c>
    </row>
    <row r="359" spans="2:44" x14ac:dyDescent="0.25">
      <c r="B359" s="181" t="s">
        <v>1001</v>
      </c>
      <c r="C359" s="182" t="s">
        <v>1002</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191"/>
        <v>0</v>
      </c>
      <c r="G359" s="183"/>
      <c r="H359" s="183">
        <f t="shared" si="192"/>
        <v>0</v>
      </c>
      <c r="I359" s="183"/>
      <c r="J359" s="183">
        <f t="shared" si="193"/>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194"/>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195"/>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196"/>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197"/>
        <v>0</v>
      </c>
      <c r="AR359" s="183">
        <f t="shared" si="198"/>
        <v>0</v>
      </c>
    </row>
    <row r="360" spans="2:44" x14ac:dyDescent="0.25">
      <c r="B360" s="181" t="s">
        <v>335</v>
      </c>
      <c r="C360" s="182" t="s">
        <v>1003</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191"/>
        <v>0</v>
      </c>
      <c r="G360" s="183"/>
      <c r="H360" s="183">
        <f t="shared" si="192"/>
        <v>0</v>
      </c>
      <c r="I360" s="183"/>
      <c r="J360" s="183">
        <f t="shared" si="193"/>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194"/>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195"/>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196"/>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197"/>
        <v>0</v>
      </c>
      <c r="AR360" s="183">
        <f t="shared" si="198"/>
        <v>0</v>
      </c>
    </row>
    <row r="361" spans="2:44" x14ac:dyDescent="0.25">
      <c r="B361" s="181" t="s">
        <v>1004</v>
      </c>
      <c r="C361" s="182" t="s">
        <v>1003</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191"/>
        <v>0</v>
      </c>
      <c r="G361" s="183"/>
      <c r="H361" s="183">
        <f t="shared" si="192"/>
        <v>0</v>
      </c>
      <c r="I361" s="183"/>
      <c r="J361" s="183">
        <f t="shared" si="193"/>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194"/>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195"/>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196"/>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197"/>
        <v>0</v>
      </c>
      <c r="AR361" s="183">
        <f t="shared" si="198"/>
        <v>0</v>
      </c>
    </row>
    <row r="362" spans="2:44" x14ac:dyDescent="0.25">
      <c r="B362" s="181" t="s">
        <v>1005</v>
      </c>
      <c r="C362" s="182" t="s">
        <v>1006</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191"/>
        <v>0</v>
      </c>
      <c r="G362" s="183"/>
      <c r="H362" s="183">
        <f t="shared" si="192"/>
        <v>0</v>
      </c>
      <c r="I362" s="183"/>
      <c r="J362" s="183">
        <f t="shared" si="193"/>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194"/>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195"/>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196"/>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197"/>
        <v>0</v>
      </c>
      <c r="AR362" s="183">
        <f t="shared" si="198"/>
        <v>0</v>
      </c>
    </row>
    <row r="363" spans="2:44" x14ac:dyDescent="0.25">
      <c r="B363" s="181" t="s">
        <v>1007</v>
      </c>
      <c r="C363" s="182" t="s">
        <v>1008</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200">D363+E363</f>
        <v>0</v>
      </c>
      <c r="G363" s="183"/>
      <c r="H363" s="183">
        <f t="shared" ref="H363:H378" si="201">F363-G363</f>
        <v>0</v>
      </c>
      <c r="I363" s="183"/>
      <c r="J363" s="183">
        <f t="shared" ref="J363:J378" si="202">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203">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204">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205">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206">AN363+AO363+AP363</f>
        <v>0</v>
      </c>
      <c r="AR363" s="183">
        <f t="shared" ref="AR363:AR378" si="207">AE363+AI363+AM363+AQ363</f>
        <v>0</v>
      </c>
    </row>
    <row r="364" spans="2:44" x14ac:dyDescent="0.25">
      <c r="B364" s="181" t="s">
        <v>1009</v>
      </c>
      <c r="C364" s="182" t="s">
        <v>1010</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200"/>
        <v>0</v>
      </c>
      <c r="G364" s="183"/>
      <c r="H364" s="183">
        <f t="shared" si="201"/>
        <v>0</v>
      </c>
      <c r="I364" s="183"/>
      <c r="J364" s="183">
        <f t="shared" si="202"/>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203"/>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204"/>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205"/>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206"/>
        <v>0</v>
      </c>
      <c r="AR364" s="183">
        <f t="shared" si="207"/>
        <v>0</v>
      </c>
    </row>
    <row r="365" spans="2:44" x14ac:dyDescent="0.25">
      <c r="B365" s="181" t="s">
        <v>336</v>
      </c>
      <c r="C365" s="182" t="s">
        <v>1011</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200"/>
        <v>0</v>
      </c>
      <c r="G365" s="183"/>
      <c r="H365" s="183">
        <f t="shared" si="201"/>
        <v>0</v>
      </c>
      <c r="I365" s="183"/>
      <c r="J365" s="183">
        <f t="shared" si="202"/>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203"/>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204"/>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205"/>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206"/>
        <v>0</v>
      </c>
      <c r="AR365" s="183">
        <f t="shared" si="207"/>
        <v>0</v>
      </c>
    </row>
    <row r="366" spans="2:44" x14ac:dyDescent="0.25">
      <c r="B366" s="181" t="s">
        <v>1012</v>
      </c>
      <c r="C366" s="182" t="s">
        <v>1013</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391000</v>
      </c>
      <c r="F366" s="183">
        <f t="shared" si="200"/>
        <v>397000</v>
      </c>
      <c r="G366" s="183"/>
      <c r="H366" s="183">
        <f t="shared" si="201"/>
        <v>397000</v>
      </c>
      <c r="I366" s="183"/>
      <c r="J366" s="183">
        <f t="shared" si="202"/>
        <v>397000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397000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377000</v>
      </c>
      <c r="AE366" s="183">
        <f t="shared" si="203"/>
        <v>377000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204"/>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205"/>
        <v>20000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206"/>
        <v>0</v>
      </c>
      <c r="AR366" s="183">
        <f t="shared" si="207"/>
        <v>397000</v>
      </c>
    </row>
    <row r="367" spans="2:44" x14ac:dyDescent="0.25">
      <c r="B367" s="181" t="s">
        <v>1014</v>
      </c>
      <c r="C367" s="182" t="s">
        <v>1015</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200"/>
        <v>0</v>
      </c>
      <c r="G367" s="183"/>
      <c r="H367" s="183">
        <f t="shared" si="201"/>
        <v>0</v>
      </c>
      <c r="I367" s="183"/>
      <c r="J367" s="183">
        <f t="shared" si="202"/>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203"/>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204"/>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205"/>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206"/>
        <v>0</v>
      </c>
      <c r="AR367" s="183">
        <f t="shared" si="207"/>
        <v>0</v>
      </c>
    </row>
    <row r="368" spans="2:44" x14ac:dyDescent="0.25">
      <c r="B368" s="181" t="s">
        <v>1016</v>
      </c>
      <c r="C368" s="182" t="s">
        <v>1017</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200"/>
        <v>0</v>
      </c>
      <c r="G368" s="183"/>
      <c r="H368" s="183">
        <f t="shared" si="201"/>
        <v>0</v>
      </c>
      <c r="I368" s="183"/>
      <c r="J368" s="183">
        <f t="shared" si="202"/>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203"/>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204"/>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205"/>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206"/>
        <v>0</v>
      </c>
      <c r="AR368" s="183">
        <f t="shared" si="207"/>
        <v>0</v>
      </c>
    </row>
    <row r="369" spans="2:44" x14ac:dyDescent="0.25">
      <c r="B369" s="181" t="s">
        <v>1018</v>
      </c>
      <c r="C369" s="182" t="s">
        <v>1019</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200"/>
        <v>0</v>
      </c>
      <c r="G369" s="183"/>
      <c r="H369" s="183">
        <f t="shared" si="201"/>
        <v>0</v>
      </c>
      <c r="I369" s="183"/>
      <c r="J369" s="183">
        <f t="shared" si="202"/>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203"/>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204"/>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205"/>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206"/>
        <v>0</v>
      </c>
      <c r="AR369" s="183">
        <f t="shared" si="207"/>
        <v>0</v>
      </c>
    </row>
    <row r="370" spans="2:44" x14ac:dyDescent="0.25">
      <c r="B370" s="181" t="s">
        <v>337</v>
      </c>
      <c r="C370" s="182" t="s">
        <v>1020</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200"/>
        <v>0</v>
      </c>
      <c r="G370" s="183"/>
      <c r="H370" s="183">
        <f t="shared" si="201"/>
        <v>0</v>
      </c>
      <c r="I370" s="183"/>
      <c r="J370" s="183">
        <f t="shared" si="202"/>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203"/>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204"/>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205"/>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206"/>
        <v>0</v>
      </c>
      <c r="AR370" s="183">
        <f t="shared" si="207"/>
        <v>0</v>
      </c>
    </row>
    <row r="371" spans="2:44" x14ac:dyDescent="0.25">
      <c r="B371" s="181" t="s">
        <v>1021</v>
      </c>
      <c r="C371" s="182" t="s">
        <v>1022</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200"/>
        <v>0</v>
      </c>
      <c r="G371" s="183"/>
      <c r="H371" s="183">
        <f t="shared" si="201"/>
        <v>0</v>
      </c>
      <c r="I371" s="183"/>
      <c r="J371" s="183">
        <f t="shared" si="202"/>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203"/>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204"/>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205"/>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206"/>
        <v>0</v>
      </c>
      <c r="AR371" s="183">
        <f t="shared" si="207"/>
        <v>0</v>
      </c>
    </row>
    <row r="372" spans="2:44" x14ac:dyDescent="0.25">
      <c r="B372" s="181" t="s">
        <v>1023</v>
      </c>
      <c r="C372" s="182" t="s">
        <v>1024</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200"/>
        <v>0</v>
      </c>
      <c r="G372" s="183"/>
      <c r="H372" s="183">
        <f t="shared" si="201"/>
        <v>0</v>
      </c>
      <c r="I372" s="183"/>
      <c r="J372" s="183">
        <f t="shared" si="202"/>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203"/>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204"/>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205"/>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206"/>
        <v>0</v>
      </c>
      <c r="AR372" s="183">
        <f t="shared" si="207"/>
        <v>0</v>
      </c>
    </row>
    <row r="373" spans="2:44" x14ac:dyDescent="0.25">
      <c r="B373" s="181" t="s">
        <v>1025</v>
      </c>
      <c r="C373" s="182" t="s">
        <v>1026</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200"/>
        <v>0</v>
      </c>
      <c r="G373" s="183"/>
      <c r="H373" s="183">
        <f t="shared" si="201"/>
        <v>0</v>
      </c>
      <c r="I373" s="183"/>
      <c r="J373" s="183">
        <f t="shared" si="202"/>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203"/>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204"/>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205"/>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206"/>
        <v>0</v>
      </c>
      <c r="AR373" s="183">
        <f t="shared" si="207"/>
        <v>0</v>
      </c>
    </row>
    <row r="374" spans="2:44" x14ac:dyDescent="0.25">
      <c r="B374" s="181" t="s">
        <v>1027</v>
      </c>
      <c r="C374" s="182" t="s">
        <v>1028</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200"/>
        <v>0</v>
      </c>
      <c r="G374" s="183"/>
      <c r="H374" s="183">
        <f t="shared" si="201"/>
        <v>0</v>
      </c>
      <c r="I374" s="183"/>
      <c r="J374" s="183">
        <f t="shared" si="202"/>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203"/>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204"/>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205"/>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206"/>
        <v>0</v>
      </c>
      <c r="AR374" s="183">
        <f t="shared" si="207"/>
        <v>0</v>
      </c>
    </row>
    <row r="375" spans="2:44" x14ac:dyDescent="0.25">
      <c r="B375" s="181" t="s">
        <v>1029</v>
      </c>
      <c r="C375" s="182" t="s">
        <v>1030</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200"/>
        <v>0</v>
      </c>
      <c r="G375" s="183"/>
      <c r="H375" s="183">
        <f t="shared" si="201"/>
        <v>0</v>
      </c>
      <c r="I375" s="183"/>
      <c r="J375" s="183">
        <f t="shared" si="202"/>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203"/>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204"/>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205"/>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206"/>
        <v>0</v>
      </c>
      <c r="AR375" s="183">
        <f t="shared" si="207"/>
        <v>0</v>
      </c>
    </row>
    <row r="376" spans="2:44" x14ac:dyDescent="0.25">
      <c r="B376" s="181" t="s">
        <v>1031</v>
      </c>
      <c r="C376" s="182" t="s">
        <v>1032</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200"/>
        <v>0</v>
      </c>
      <c r="G376" s="183"/>
      <c r="H376" s="183">
        <f t="shared" si="201"/>
        <v>0</v>
      </c>
      <c r="I376" s="183"/>
      <c r="J376" s="183">
        <f t="shared" si="202"/>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203"/>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204"/>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205"/>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206"/>
        <v>0</v>
      </c>
      <c r="AR376" s="183">
        <f t="shared" si="207"/>
        <v>0</v>
      </c>
    </row>
    <row r="377" spans="2:44" x14ac:dyDescent="0.25">
      <c r="B377" s="181" t="s">
        <v>1033</v>
      </c>
      <c r="C377" s="182" t="s">
        <v>1034</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200"/>
        <v>0</v>
      </c>
      <c r="G377" s="183"/>
      <c r="H377" s="183">
        <f t="shared" si="201"/>
        <v>0</v>
      </c>
      <c r="I377" s="183"/>
      <c r="J377" s="183">
        <f t="shared" si="202"/>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203"/>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204"/>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205"/>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206"/>
        <v>0</v>
      </c>
      <c r="AR377" s="183">
        <f t="shared" si="207"/>
        <v>0</v>
      </c>
    </row>
    <row r="378" spans="2:44" x14ac:dyDescent="0.25">
      <c r="B378" s="181" t="s">
        <v>1035</v>
      </c>
      <c r="C378" s="182" t="s">
        <v>1036</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200"/>
        <v>0</v>
      </c>
      <c r="G378" s="183"/>
      <c r="H378" s="183">
        <f t="shared" si="201"/>
        <v>0</v>
      </c>
      <c r="I378" s="183"/>
      <c r="J378" s="183">
        <f t="shared" si="202"/>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203"/>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204"/>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205"/>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206"/>
        <v>0</v>
      </c>
      <c r="AR378" s="183">
        <f t="shared" si="207"/>
        <v>0</v>
      </c>
    </row>
    <row r="379" spans="2:44" x14ac:dyDescent="0.25">
      <c r="B379" s="181" t="s">
        <v>1037</v>
      </c>
      <c r="C379" s="182" t="s">
        <v>1038</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ref="F379:F402" si="208">D379+E379</f>
        <v>0</v>
      </c>
      <c r="G379" s="183"/>
      <c r="H379" s="183">
        <f t="shared" ref="H379:H402" si="209">F379-G379</f>
        <v>0</v>
      </c>
      <c r="I379" s="183"/>
      <c r="J379" s="183">
        <f t="shared" ref="J379:J402" si="210">F379-I379</f>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ref="AE379:AE402" si="211">AB379+AC379+AD379</f>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ref="AI379:AI402" si="212">AF379+AG379+AH379</f>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ref="AM379:AM402" si="213">AJ379+AK379+AL379</f>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ref="AQ379:AQ402" si="214">AN379+AO379+AP379</f>
        <v>0</v>
      </c>
      <c r="AR379" s="183">
        <f t="shared" ref="AR379:AR402" si="215">AE379+AI379+AM379+AQ379</f>
        <v>0</v>
      </c>
    </row>
    <row r="380" spans="2:44" x14ac:dyDescent="0.25">
      <c r="B380" s="181" t="s">
        <v>1039</v>
      </c>
      <c r="C380" s="182" t="s">
        <v>1040</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208"/>
        <v>0</v>
      </c>
      <c r="G380" s="183"/>
      <c r="H380" s="183">
        <f t="shared" si="209"/>
        <v>0</v>
      </c>
      <c r="I380" s="183"/>
      <c r="J380" s="183">
        <f t="shared" si="210"/>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211"/>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212"/>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213"/>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214"/>
        <v>0</v>
      </c>
      <c r="AR380" s="183">
        <f t="shared" si="215"/>
        <v>0</v>
      </c>
    </row>
    <row r="381" spans="2:44" x14ac:dyDescent="0.25">
      <c r="B381" s="181" t="s">
        <v>1041</v>
      </c>
      <c r="C381" s="182" t="s">
        <v>1040</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208"/>
        <v>0</v>
      </c>
      <c r="G381" s="183"/>
      <c r="H381" s="183">
        <f t="shared" si="209"/>
        <v>0</v>
      </c>
      <c r="I381" s="183"/>
      <c r="J381" s="183">
        <f t="shared" si="210"/>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211"/>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212"/>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213"/>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214"/>
        <v>0</v>
      </c>
      <c r="AR381" s="183">
        <f t="shared" si="215"/>
        <v>0</v>
      </c>
    </row>
    <row r="382" spans="2:44" x14ac:dyDescent="0.25">
      <c r="B382" s="181" t="s">
        <v>1042</v>
      </c>
      <c r="C382" s="182" t="s">
        <v>1043</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208"/>
        <v>0</v>
      </c>
      <c r="G382" s="183"/>
      <c r="H382" s="183">
        <f t="shared" si="209"/>
        <v>0</v>
      </c>
      <c r="I382" s="183"/>
      <c r="J382" s="183">
        <f t="shared" si="210"/>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211"/>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212"/>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213"/>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214"/>
        <v>0</v>
      </c>
      <c r="AR382" s="183">
        <f t="shared" si="215"/>
        <v>0</v>
      </c>
    </row>
    <row r="383" spans="2:44" x14ac:dyDescent="0.25">
      <c r="B383" s="190" t="s">
        <v>338</v>
      </c>
      <c r="C383" s="191" t="s">
        <v>206</v>
      </c>
      <c r="D383" s="192">
        <f>SUM(D384:D388)</f>
        <v>0</v>
      </c>
      <c r="E383" s="192">
        <f>SUM(E384:E388)</f>
        <v>180000</v>
      </c>
      <c r="F383" s="192">
        <f t="shared" si="208"/>
        <v>180000</v>
      </c>
      <c r="G383" s="192">
        <f>SUM(G384:G388)</f>
        <v>0</v>
      </c>
      <c r="H383" s="192">
        <f t="shared" si="209"/>
        <v>180000</v>
      </c>
      <c r="I383" s="192">
        <f>SUM(I384:I388)</f>
        <v>0</v>
      </c>
      <c r="J383" s="192">
        <f t="shared" si="210"/>
        <v>180000</v>
      </c>
      <c r="K383" s="192">
        <f t="shared" ref="K383:AD383" si="216">SUM(K384:K388)</f>
        <v>0</v>
      </c>
      <c r="L383" s="192">
        <f t="shared" si="216"/>
        <v>0</v>
      </c>
      <c r="M383" s="192">
        <f t="shared" si="216"/>
        <v>0</v>
      </c>
      <c r="N383" s="192">
        <f t="shared" si="216"/>
        <v>0</v>
      </c>
      <c r="O383" s="192">
        <f t="shared" si="216"/>
        <v>0</v>
      </c>
      <c r="P383" s="192">
        <f>SUM(P384:P388)</f>
        <v>0</v>
      </c>
      <c r="Q383" s="192">
        <f>SUM(Q384:Q388)</f>
        <v>0</v>
      </c>
      <c r="R383" s="192">
        <f t="shared" si="216"/>
        <v>0</v>
      </c>
      <c r="S383" s="192">
        <f t="shared" si="216"/>
        <v>0</v>
      </c>
      <c r="T383" s="192">
        <f>SUM(T384:T388)</f>
        <v>0</v>
      </c>
      <c r="U383" s="192">
        <f t="shared" si="216"/>
        <v>0</v>
      </c>
      <c r="V383" s="192">
        <f t="shared" si="216"/>
        <v>0</v>
      </c>
      <c r="W383" s="192">
        <f>SUM(W384:W388)</f>
        <v>0</v>
      </c>
      <c r="X383" s="192">
        <f t="shared" si="216"/>
        <v>0</v>
      </c>
      <c r="Y383" s="192">
        <f>SUM(Y384:Y388)</f>
        <v>0</v>
      </c>
      <c r="Z383" s="192">
        <f>SUM(Z384:Z388)</f>
        <v>0</v>
      </c>
      <c r="AA383" s="192">
        <f t="shared" si="216"/>
        <v>180000</v>
      </c>
      <c r="AB383" s="192">
        <f t="shared" si="216"/>
        <v>0</v>
      </c>
      <c r="AC383" s="192">
        <f t="shared" si="216"/>
        <v>0</v>
      </c>
      <c r="AD383" s="192">
        <f t="shared" si="216"/>
        <v>180000</v>
      </c>
      <c r="AE383" s="192">
        <f t="shared" si="211"/>
        <v>180000</v>
      </c>
      <c r="AF383" s="192">
        <f>SUM(AF384:AF388)</f>
        <v>0</v>
      </c>
      <c r="AG383" s="192">
        <f>SUM(AG384:AG388)</f>
        <v>0</v>
      </c>
      <c r="AH383" s="192">
        <f>SUM(AH384:AH388)</f>
        <v>0</v>
      </c>
      <c r="AI383" s="192">
        <f t="shared" si="212"/>
        <v>0</v>
      </c>
      <c r="AJ383" s="192">
        <f>SUM(AJ384:AJ388)</f>
        <v>0</v>
      </c>
      <c r="AK383" s="192">
        <f>SUM(AK384:AK388)</f>
        <v>0</v>
      </c>
      <c r="AL383" s="192">
        <f>SUM(AL384:AL388)</f>
        <v>0</v>
      </c>
      <c r="AM383" s="192">
        <f t="shared" si="213"/>
        <v>0</v>
      </c>
      <c r="AN383" s="192">
        <f>SUM(AN384:AN388)</f>
        <v>0</v>
      </c>
      <c r="AO383" s="192">
        <f>SUM(AO384:AO388)</f>
        <v>0</v>
      </c>
      <c r="AP383" s="192">
        <f>SUM(AP384:AP388)</f>
        <v>0</v>
      </c>
      <c r="AQ383" s="192">
        <f t="shared" si="214"/>
        <v>0</v>
      </c>
      <c r="AR383" s="192">
        <f t="shared" si="215"/>
        <v>180000</v>
      </c>
    </row>
    <row r="384" spans="2:44" x14ac:dyDescent="0.25">
      <c r="B384" s="181" t="s">
        <v>339</v>
      </c>
      <c r="C384" s="182" t="s">
        <v>207</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208"/>
        <v>0</v>
      </c>
      <c r="G384" s="183"/>
      <c r="H384" s="183">
        <f t="shared" si="209"/>
        <v>0</v>
      </c>
      <c r="I384" s="183"/>
      <c r="J384" s="183">
        <f t="shared" si="210"/>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211"/>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212"/>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213"/>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214"/>
        <v>0</v>
      </c>
      <c r="AR384" s="183">
        <f t="shared" si="215"/>
        <v>0</v>
      </c>
    </row>
    <row r="385" spans="1:44" x14ac:dyDescent="0.25">
      <c r="B385" s="181" t="s">
        <v>1044</v>
      </c>
      <c r="C385" s="182" t="s">
        <v>1045</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180000</v>
      </c>
      <c r="F385" s="183">
        <f t="shared" si="208"/>
        <v>180000</v>
      </c>
      <c r="G385" s="183"/>
      <c r="H385" s="183">
        <f t="shared" si="209"/>
        <v>180000</v>
      </c>
      <c r="I385" s="183"/>
      <c r="J385" s="183">
        <f t="shared" si="210"/>
        <v>180000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180000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180000</v>
      </c>
      <c r="AE385" s="183">
        <f t="shared" si="211"/>
        <v>180000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212"/>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213"/>
        <v>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214"/>
        <v>0</v>
      </c>
      <c r="AR385" s="183">
        <f t="shared" si="215"/>
        <v>180000</v>
      </c>
    </row>
    <row r="386" spans="1:44" x14ac:dyDescent="0.25">
      <c r="B386" s="181" t="s">
        <v>1046</v>
      </c>
      <c r="C386" s="182" t="s">
        <v>1047</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si="208"/>
        <v>0</v>
      </c>
      <c r="G386" s="183"/>
      <c r="H386" s="183">
        <f t="shared" si="209"/>
        <v>0</v>
      </c>
      <c r="I386" s="183"/>
      <c r="J386" s="183">
        <f t="shared" si="210"/>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si="211"/>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si="212"/>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si="213"/>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si="214"/>
        <v>0</v>
      </c>
      <c r="AR386" s="183">
        <f t="shared" si="215"/>
        <v>0</v>
      </c>
    </row>
    <row r="387" spans="1:44" x14ac:dyDescent="0.25">
      <c r="A387" s="111"/>
      <c r="B387" s="181" t="s">
        <v>1048</v>
      </c>
      <c r="C387" s="182" t="s">
        <v>1370</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si="208"/>
        <v>0</v>
      </c>
      <c r="G387" s="183"/>
      <c r="H387" s="183">
        <f t="shared" si="209"/>
        <v>0</v>
      </c>
      <c r="I387" s="183"/>
      <c r="J387" s="183">
        <f t="shared" si="210"/>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si="211"/>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si="212"/>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si="213"/>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si="214"/>
        <v>0</v>
      </c>
      <c r="AR387" s="183">
        <f t="shared" si="215"/>
        <v>0</v>
      </c>
    </row>
    <row r="388" spans="1:44" x14ac:dyDescent="0.25">
      <c r="A388" s="111"/>
      <c r="B388" s="181" t="s">
        <v>1050</v>
      </c>
      <c r="C388" s="182" t="s">
        <v>1049</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208"/>
        <v>0</v>
      </c>
      <c r="G388" s="183"/>
      <c r="H388" s="183">
        <f t="shared" si="209"/>
        <v>0</v>
      </c>
      <c r="I388" s="183"/>
      <c r="J388" s="183">
        <f t="shared" si="210"/>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211"/>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212"/>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213"/>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214"/>
        <v>0</v>
      </c>
      <c r="AR388" s="183">
        <f t="shared" si="215"/>
        <v>0</v>
      </c>
    </row>
    <row r="389" spans="1:44" x14ac:dyDescent="0.25">
      <c r="B389" s="190" t="s">
        <v>340</v>
      </c>
      <c r="C389" s="191" t="s">
        <v>208</v>
      </c>
      <c r="D389" s="192">
        <f>SUM(D390:D396)</f>
        <v>0</v>
      </c>
      <c r="E389" s="192">
        <f>SUM(E390:E396)</f>
        <v>0</v>
      </c>
      <c r="F389" s="192">
        <f t="shared" si="208"/>
        <v>0</v>
      </c>
      <c r="G389" s="192">
        <f>SUM(G390:G396)</f>
        <v>0</v>
      </c>
      <c r="H389" s="192">
        <f t="shared" si="209"/>
        <v>0</v>
      </c>
      <c r="I389" s="192">
        <f>SUM(I390:I396)</f>
        <v>0</v>
      </c>
      <c r="J389" s="192">
        <f t="shared" si="210"/>
        <v>0</v>
      </c>
      <c r="K389" s="192">
        <f t="shared" ref="K389:AD389" si="217">SUM(K390:K396)</f>
        <v>0</v>
      </c>
      <c r="L389" s="192">
        <f t="shared" si="217"/>
        <v>0</v>
      </c>
      <c r="M389" s="192">
        <f t="shared" si="217"/>
        <v>0</v>
      </c>
      <c r="N389" s="192">
        <f t="shared" si="217"/>
        <v>0</v>
      </c>
      <c r="O389" s="192">
        <f t="shared" si="217"/>
        <v>0</v>
      </c>
      <c r="P389" s="192">
        <f t="shared" si="217"/>
        <v>0</v>
      </c>
      <c r="Q389" s="192">
        <f t="shared" si="217"/>
        <v>0</v>
      </c>
      <c r="R389" s="192">
        <f t="shared" si="217"/>
        <v>0</v>
      </c>
      <c r="S389" s="192">
        <f t="shared" si="217"/>
        <v>0</v>
      </c>
      <c r="T389" s="192">
        <f>SUM(T390:T396)</f>
        <v>0</v>
      </c>
      <c r="U389" s="192">
        <f t="shared" si="217"/>
        <v>0</v>
      </c>
      <c r="V389" s="192">
        <f t="shared" si="217"/>
        <v>0</v>
      </c>
      <c r="W389" s="192">
        <f t="shared" si="217"/>
        <v>0</v>
      </c>
      <c r="X389" s="192">
        <f t="shared" si="217"/>
        <v>0</v>
      </c>
      <c r="Y389" s="192">
        <f>SUM(Y390:Y396)</f>
        <v>0</v>
      </c>
      <c r="Z389" s="192">
        <f>SUM(Z390:Z396)</f>
        <v>0</v>
      </c>
      <c r="AA389" s="192">
        <f t="shared" si="217"/>
        <v>0</v>
      </c>
      <c r="AB389" s="192">
        <f t="shared" si="217"/>
        <v>0</v>
      </c>
      <c r="AC389" s="192">
        <f t="shared" si="217"/>
        <v>0</v>
      </c>
      <c r="AD389" s="192">
        <f t="shared" si="217"/>
        <v>0</v>
      </c>
      <c r="AE389" s="192">
        <f t="shared" si="211"/>
        <v>0</v>
      </c>
      <c r="AF389" s="192">
        <f>SUM(AF390:AF396)</f>
        <v>0</v>
      </c>
      <c r="AG389" s="192">
        <f>SUM(AG390:AG396)</f>
        <v>0</v>
      </c>
      <c r="AH389" s="192">
        <f>SUM(AH390:AH396)</f>
        <v>0</v>
      </c>
      <c r="AI389" s="192">
        <f t="shared" si="212"/>
        <v>0</v>
      </c>
      <c r="AJ389" s="192">
        <f>SUM(AJ390:AJ396)</f>
        <v>0</v>
      </c>
      <c r="AK389" s="192">
        <f>SUM(AK390:AK396)</f>
        <v>0</v>
      </c>
      <c r="AL389" s="192">
        <f>SUM(AL390:AL396)</f>
        <v>0</v>
      </c>
      <c r="AM389" s="192">
        <f t="shared" si="213"/>
        <v>0</v>
      </c>
      <c r="AN389" s="192">
        <f>SUM(AN390:AN396)</f>
        <v>0</v>
      </c>
      <c r="AO389" s="192">
        <f>SUM(AO390:AO396)</f>
        <v>0</v>
      </c>
      <c r="AP389" s="192">
        <f>SUM(AP390:AP396)</f>
        <v>0</v>
      </c>
      <c r="AQ389" s="192">
        <f t="shared" si="214"/>
        <v>0</v>
      </c>
      <c r="AR389" s="192">
        <f t="shared" si="215"/>
        <v>0</v>
      </c>
    </row>
    <row r="390" spans="1:44" x14ac:dyDescent="0.25">
      <c r="B390" s="181" t="s">
        <v>341</v>
      </c>
      <c r="C390" s="182" t="s">
        <v>209</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208"/>
        <v>0</v>
      </c>
      <c r="G390" s="183"/>
      <c r="H390" s="183">
        <f t="shared" si="209"/>
        <v>0</v>
      </c>
      <c r="I390" s="183"/>
      <c r="J390" s="183">
        <f t="shared" si="210"/>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211"/>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212"/>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213"/>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214"/>
        <v>0</v>
      </c>
      <c r="AR390" s="183">
        <f t="shared" si="215"/>
        <v>0</v>
      </c>
    </row>
    <row r="391" spans="1:44" x14ac:dyDescent="0.25">
      <c r="B391" s="181" t="s">
        <v>1051</v>
      </c>
      <c r="C391" s="182" t="s">
        <v>1052</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si="208"/>
        <v>0</v>
      </c>
      <c r="G391" s="183"/>
      <c r="H391" s="183">
        <f t="shared" si="209"/>
        <v>0</v>
      </c>
      <c r="I391" s="183"/>
      <c r="J391" s="183">
        <f t="shared" si="210"/>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si="211"/>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si="212"/>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si="213"/>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si="214"/>
        <v>0</v>
      </c>
      <c r="AR391" s="183">
        <f t="shared" si="215"/>
        <v>0</v>
      </c>
    </row>
    <row r="392" spans="1:44" x14ac:dyDescent="0.25">
      <c r="B392" s="181" t="s">
        <v>342</v>
      </c>
      <c r="C392" s="182" t="s">
        <v>210</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208"/>
        <v>0</v>
      </c>
      <c r="G392" s="183"/>
      <c r="H392" s="183">
        <f t="shared" si="209"/>
        <v>0</v>
      </c>
      <c r="I392" s="183"/>
      <c r="J392" s="183">
        <f t="shared" si="210"/>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211"/>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212"/>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213"/>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214"/>
        <v>0</v>
      </c>
      <c r="AR392" s="183">
        <f t="shared" si="215"/>
        <v>0</v>
      </c>
    </row>
    <row r="393" spans="1:44" x14ac:dyDescent="0.25">
      <c r="B393" s="181" t="s">
        <v>1053</v>
      </c>
      <c r="C393" s="182" t="s">
        <v>1054</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208"/>
        <v>0</v>
      </c>
      <c r="G393" s="183"/>
      <c r="H393" s="183">
        <f t="shared" si="209"/>
        <v>0</v>
      </c>
      <c r="I393" s="183"/>
      <c r="J393" s="183">
        <f t="shared" si="210"/>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211"/>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212"/>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213"/>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214"/>
        <v>0</v>
      </c>
      <c r="AR393" s="183">
        <f t="shared" si="215"/>
        <v>0</v>
      </c>
    </row>
    <row r="394" spans="1:44" x14ac:dyDescent="0.25">
      <c r="B394" s="181" t="s">
        <v>1055</v>
      </c>
      <c r="C394" s="182" t="s">
        <v>1056</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208"/>
        <v>0</v>
      </c>
      <c r="G394" s="183"/>
      <c r="H394" s="183">
        <f t="shared" si="209"/>
        <v>0</v>
      </c>
      <c r="I394" s="183"/>
      <c r="J394" s="183">
        <f t="shared" si="210"/>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211"/>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212"/>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213"/>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214"/>
        <v>0</v>
      </c>
      <c r="AR394" s="183">
        <f t="shared" si="215"/>
        <v>0</v>
      </c>
    </row>
    <row r="395" spans="1:44" x14ac:dyDescent="0.25">
      <c r="B395" s="181" t="s">
        <v>343</v>
      </c>
      <c r="C395" s="182" t="s">
        <v>211</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208"/>
        <v>0</v>
      </c>
      <c r="G395" s="183"/>
      <c r="H395" s="183">
        <f t="shared" si="209"/>
        <v>0</v>
      </c>
      <c r="I395" s="183"/>
      <c r="J395" s="183">
        <f t="shared" si="210"/>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211"/>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212"/>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213"/>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214"/>
        <v>0</v>
      </c>
      <c r="AR395" s="183">
        <f t="shared" si="215"/>
        <v>0</v>
      </c>
    </row>
    <row r="396" spans="1:44" x14ac:dyDescent="0.25">
      <c r="B396" s="181" t="s">
        <v>1057</v>
      </c>
      <c r="C396" s="182" t="s">
        <v>1058</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si="208"/>
        <v>0</v>
      </c>
      <c r="G396" s="183"/>
      <c r="H396" s="183">
        <f t="shared" si="209"/>
        <v>0</v>
      </c>
      <c r="I396" s="183"/>
      <c r="J396" s="183">
        <f t="shared" si="210"/>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si="211"/>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si="212"/>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si="213"/>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si="214"/>
        <v>0</v>
      </c>
      <c r="AR396" s="183">
        <f t="shared" si="215"/>
        <v>0</v>
      </c>
    </row>
    <row r="397" spans="1:44" x14ac:dyDescent="0.25">
      <c r="B397" s="178" t="s">
        <v>349</v>
      </c>
      <c r="C397" s="179" t="s">
        <v>217</v>
      </c>
      <c r="D397" s="180">
        <f>D398+D459+D467+D485+D489</f>
        <v>20000</v>
      </c>
      <c r="E397" s="180">
        <f>E398+E459+E467+E485+E489</f>
        <v>0</v>
      </c>
      <c r="F397" s="180">
        <f t="shared" si="208"/>
        <v>20000</v>
      </c>
      <c r="G397" s="180">
        <f>G398+G459+G467+G485+G489</f>
        <v>0</v>
      </c>
      <c r="H397" s="180">
        <f t="shared" si="209"/>
        <v>20000</v>
      </c>
      <c r="I397" s="180">
        <f>I398+I459+I467+I485+I489</f>
        <v>0</v>
      </c>
      <c r="J397" s="180">
        <f t="shared" si="210"/>
        <v>20000</v>
      </c>
      <c r="K397" s="180">
        <f t="shared" ref="K397:AD397" si="218">K398+K459+K467+K485+K489</f>
        <v>0</v>
      </c>
      <c r="L397" s="180">
        <f t="shared" si="218"/>
        <v>0</v>
      </c>
      <c r="M397" s="180">
        <f t="shared" si="218"/>
        <v>0</v>
      </c>
      <c r="N397" s="180">
        <f t="shared" si="218"/>
        <v>0</v>
      </c>
      <c r="O397" s="180">
        <f t="shared" si="218"/>
        <v>0</v>
      </c>
      <c r="P397" s="180">
        <f t="shared" si="218"/>
        <v>0</v>
      </c>
      <c r="Q397" s="180">
        <f t="shared" si="218"/>
        <v>20000</v>
      </c>
      <c r="R397" s="180">
        <f t="shared" si="218"/>
        <v>0</v>
      </c>
      <c r="S397" s="180">
        <f t="shared" si="218"/>
        <v>0</v>
      </c>
      <c r="T397" s="180">
        <f>T398+T459+T467+T485+T489</f>
        <v>0</v>
      </c>
      <c r="U397" s="180">
        <f t="shared" si="218"/>
        <v>0</v>
      </c>
      <c r="V397" s="180">
        <f t="shared" si="218"/>
        <v>0</v>
      </c>
      <c r="W397" s="180">
        <f t="shared" si="218"/>
        <v>0</v>
      </c>
      <c r="X397" s="180">
        <f t="shared" si="218"/>
        <v>0</v>
      </c>
      <c r="Y397" s="180">
        <f>Y398+Y459+Y467+Y485+Y489</f>
        <v>0</v>
      </c>
      <c r="Z397" s="180">
        <f>Z398+Z459+Z467+Z485+Z489</f>
        <v>0</v>
      </c>
      <c r="AA397" s="180">
        <f t="shared" si="218"/>
        <v>0</v>
      </c>
      <c r="AB397" s="180">
        <f t="shared" si="218"/>
        <v>0</v>
      </c>
      <c r="AC397" s="180">
        <f t="shared" si="218"/>
        <v>0</v>
      </c>
      <c r="AD397" s="180">
        <f t="shared" si="218"/>
        <v>0</v>
      </c>
      <c r="AE397" s="180">
        <f t="shared" si="211"/>
        <v>0</v>
      </c>
      <c r="AF397" s="180">
        <f>AF398+AF459+AF467+AF485+AF489</f>
        <v>0</v>
      </c>
      <c r="AG397" s="180">
        <f>AG398+AG459+AG467+AG485+AG489</f>
        <v>0</v>
      </c>
      <c r="AH397" s="180">
        <f>AH398+AH459+AH467+AH485+AH489</f>
        <v>0</v>
      </c>
      <c r="AI397" s="180">
        <f t="shared" si="212"/>
        <v>0</v>
      </c>
      <c r="AJ397" s="180">
        <f>AJ398+AJ459+AJ467+AJ485+AJ489</f>
        <v>0</v>
      </c>
      <c r="AK397" s="180">
        <f>AK398+AK459+AK467+AK485+AK489</f>
        <v>0</v>
      </c>
      <c r="AL397" s="180">
        <f>AL398+AL459+AL467+AL485+AL489</f>
        <v>20000</v>
      </c>
      <c r="AM397" s="180">
        <f t="shared" si="213"/>
        <v>20000</v>
      </c>
      <c r="AN397" s="180">
        <f>AN398+AN459+AN467+AN485+AN489</f>
        <v>0</v>
      </c>
      <c r="AO397" s="180">
        <f>AO398+AO459+AO467+AO485+AO489</f>
        <v>0</v>
      </c>
      <c r="AP397" s="180">
        <f>AP398+AP459+AP467+AP485+AP489</f>
        <v>0</v>
      </c>
      <c r="AQ397" s="180">
        <f t="shared" si="214"/>
        <v>0</v>
      </c>
      <c r="AR397" s="180">
        <f t="shared" si="215"/>
        <v>20000</v>
      </c>
    </row>
    <row r="398" spans="1:44" x14ac:dyDescent="0.25">
      <c r="B398" s="190" t="s">
        <v>350</v>
      </c>
      <c r="C398" s="191" t="s">
        <v>218</v>
      </c>
      <c r="D398" s="192">
        <f>SUM(D399:D458)</f>
        <v>0</v>
      </c>
      <c r="E398" s="192">
        <f>SUM(E399:E458)</f>
        <v>0</v>
      </c>
      <c r="F398" s="192">
        <f t="shared" si="208"/>
        <v>0</v>
      </c>
      <c r="G398" s="192">
        <f>SUM(G399:G458)</f>
        <v>0</v>
      </c>
      <c r="H398" s="192">
        <f t="shared" si="209"/>
        <v>0</v>
      </c>
      <c r="I398" s="192">
        <f>SUM(I399:I458)</f>
        <v>0</v>
      </c>
      <c r="J398" s="192">
        <f t="shared" si="210"/>
        <v>0</v>
      </c>
      <c r="K398" s="192">
        <f t="shared" ref="K398:AP398" si="219">SUM(K399:K458)</f>
        <v>0</v>
      </c>
      <c r="L398" s="192">
        <f t="shared" si="219"/>
        <v>0</v>
      </c>
      <c r="M398" s="192">
        <f t="shared" si="219"/>
        <v>0</v>
      </c>
      <c r="N398" s="192">
        <f t="shared" si="219"/>
        <v>0</v>
      </c>
      <c r="O398" s="192">
        <f t="shared" si="219"/>
        <v>0</v>
      </c>
      <c r="P398" s="192">
        <f>SUM(P399:P458)</f>
        <v>0</v>
      </c>
      <c r="Q398" s="192">
        <f>SUM(Q399:Q458)</f>
        <v>0</v>
      </c>
      <c r="R398" s="192">
        <f t="shared" si="219"/>
        <v>0</v>
      </c>
      <c r="S398" s="192">
        <f t="shared" si="219"/>
        <v>0</v>
      </c>
      <c r="T398" s="192">
        <f>SUM(T399:T458)</f>
        <v>0</v>
      </c>
      <c r="U398" s="192">
        <f t="shared" si="219"/>
        <v>0</v>
      </c>
      <c r="V398" s="192">
        <f t="shared" si="219"/>
        <v>0</v>
      </c>
      <c r="W398" s="192">
        <f>SUM(W399:W458)</f>
        <v>0</v>
      </c>
      <c r="X398" s="192">
        <f t="shared" si="219"/>
        <v>0</v>
      </c>
      <c r="Y398" s="192">
        <f>SUM(Y399:Y458)</f>
        <v>0</v>
      </c>
      <c r="Z398" s="192">
        <f>SUM(Z399:Z458)</f>
        <v>0</v>
      </c>
      <c r="AA398" s="192">
        <f t="shared" si="219"/>
        <v>0</v>
      </c>
      <c r="AB398" s="192">
        <f t="shared" si="219"/>
        <v>0</v>
      </c>
      <c r="AC398" s="192">
        <f t="shared" si="219"/>
        <v>0</v>
      </c>
      <c r="AD398" s="192">
        <f t="shared" si="219"/>
        <v>0</v>
      </c>
      <c r="AE398" s="192">
        <f t="shared" si="211"/>
        <v>0</v>
      </c>
      <c r="AF398" s="192">
        <f t="shared" si="219"/>
        <v>0</v>
      </c>
      <c r="AG398" s="192">
        <f t="shared" si="219"/>
        <v>0</v>
      </c>
      <c r="AH398" s="192">
        <f t="shared" si="219"/>
        <v>0</v>
      </c>
      <c r="AI398" s="192">
        <f t="shared" si="212"/>
        <v>0</v>
      </c>
      <c r="AJ398" s="192">
        <f t="shared" si="219"/>
        <v>0</v>
      </c>
      <c r="AK398" s="192">
        <f t="shared" si="219"/>
        <v>0</v>
      </c>
      <c r="AL398" s="192">
        <f t="shared" si="219"/>
        <v>0</v>
      </c>
      <c r="AM398" s="192">
        <f t="shared" si="213"/>
        <v>0</v>
      </c>
      <c r="AN398" s="192">
        <f t="shared" si="219"/>
        <v>0</v>
      </c>
      <c r="AO398" s="192">
        <f t="shared" si="219"/>
        <v>0</v>
      </c>
      <c r="AP398" s="192">
        <f t="shared" si="219"/>
        <v>0</v>
      </c>
      <c r="AQ398" s="192">
        <f t="shared" si="214"/>
        <v>0</v>
      </c>
      <c r="AR398" s="192">
        <f t="shared" si="215"/>
        <v>0</v>
      </c>
    </row>
    <row r="399" spans="1:44" x14ac:dyDescent="0.25">
      <c r="B399" s="181" t="s">
        <v>351</v>
      </c>
      <c r="C399" s="182" t="s">
        <v>219</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208"/>
        <v>0</v>
      </c>
      <c r="G399" s="183"/>
      <c r="H399" s="183">
        <f t="shared" si="209"/>
        <v>0</v>
      </c>
      <c r="I399" s="183"/>
      <c r="J399" s="183">
        <f t="shared" si="210"/>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211"/>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212"/>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213"/>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214"/>
        <v>0</v>
      </c>
      <c r="AR399" s="183">
        <f t="shared" si="215"/>
        <v>0</v>
      </c>
    </row>
    <row r="400" spans="1:44" x14ac:dyDescent="0.25">
      <c r="B400" s="181" t="s">
        <v>1060</v>
      </c>
      <c r="C400" s="182" t="s">
        <v>1061</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208"/>
        <v>0</v>
      </c>
      <c r="G400" s="183"/>
      <c r="H400" s="183">
        <f t="shared" si="209"/>
        <v>0</v>
      </c>
      <c r="I400" s="183"/>
      <c r="J400" s="183">
        <f t="shared" si="210"/>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211"/>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212"/>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213"/>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214"/>
        <v>0</v>
      </c>
      <c r="AR400" s="183">
        <f t="shared" si="215"/>
        <v>0</v>
      </c>
    </row>
    <row r="401" spans="2:44" x14ac:dyDescent="0.25">
      <c r="B401" s="181" t="s">
        <v>1062</v>
      </c>
      <c r="C401" s="182" t="s">
        <v>1063</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208"/>
        <v>0</v>
      </c>
      <c r="G401" s="183"/>
      <c r="H401" s="183">
        <f t="shared" si="209"/>
        <v>0</v>
      </c>
      <c r="I401" s="183"/>
      <c r="J401" s="183">
        <f t="shared" si="210"/>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211"/>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212"/>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213"/>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214"/>
        <v>0</v>
      </c>
      <c r="AR401" s="183">
        <f t="shared" si="215"/>
        <v>0</v>
      </c>
    </row>
    <row r="402" spans="2:44" x14ac:dyDescent="0.25">
      <c r="B402" s="181" t="s">
        <v>352</v>
      </c>
      <c r="C402" s="182" t="s">
        <v>220</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si="208"/>
        <v>0</v>
      </c>
      <c r="G402" s="183"/>
      <c r="H402" s="183">
        <f t="shared" si="209"/>
        <v>0</v>
      </c>
      <c r="I402" s="183"/>
      <c r="J402" s="183">
        <f t="shared" si="210"/>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si="211"/>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si="212"/>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si="213"/>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si="214"/>
        <v>0</v>
      </c>
      <c r="AR402" s="183">
        <f t="shared" si="215"/>
        <v>0</v>
      </c>
    </row>
    <row r="403" spans="2:44" x14ac:dyDescent="0.25">
      <c r="B403" s="181" t="s">
        <v>362</v>
      </c>
      <c r="C403" s="182" t="s">
        <v>229</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220">D403+E403</f>
        <v>0</v>
      </c>
      <c r="G403" s="183"/>
      <c r="H403" s="183">
        <f t="shared" ref="H403:H419" si="221">F403-G403</f>
        <v>0</v>
      </c>
      <c r="I403" s="183"/>
      <c r="J403" s="183">
        <f t="shared" ref="J403:J419" si="222">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223">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224">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225">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226">AN403+AO403+AP403</f>
        <v>0</v>
      </c>
      <c r="AR403" s="183">
        <f t="shared" ref="AR403:AR419" si="227">AE403+AI403+AM403+AQ403</f>
        <v>0</v>
      </c>
    </row>
    <row r="404" spans="2:44" x14ac:dyDescent="0.25">
      <c r="B404" s="181" t="s">
        <v>1064</v>
      </c>
      <c r="C404" s="182" t="s">
        <v>1065</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220"/>
        <v>0</v>
      </c>
      <c r="G404" s="183"/>
      <c r="H404" s="183">
        <f t="shared" si="221"/>
        <v>0</v>
      </c>
      <c r="I404" s="183"/>
      <c r="J404" s="183">
        <f t="shared" si="222"/>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223"/>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224"/>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225"/>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226"/>
        <v>0</v>
      </c>
      <c r="AR404" s="183">
        <f t="shared" si="227"/>
        <v>0</v>
      </c>
    </row>
    <row r="405" spans="2:44" x14ac:dyDescent="0.25">
      <c r="B405" s="181" t="s">
        <v>1066</v>
      </c>
      <c r="C405" s="182" t="s">
        <v>1067</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220"/>
        <v>0</v>
      </c>
      <c r="G405" s="183"/>
      <c r="H405" s="183">
        <f t="shared" si="221"/>
        <v>0</v>
      </c>
      <c r="I405" s="183"/>
      <c r="J405" s="183">
        <f t="shared" si="222"/>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223"/>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224"/>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225"/>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226"/>
        <v>0</v>
      </c>
      <c r="AR405" s="183">
        <f t="shared" si="227"/>
        <v>0</v>
      </c>
    </row>
    <row r="406" spans="2:44" x14ac:dyDescent="0.25">
      <c r="B406" s="181" t="s">
        <v>1068</v>
      </c>
      <c r="C406" s="182" t="s">
        <v>1069</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220"/>
        <v>0</v>
      </c>
      <c r="G406" s="183"/>
      <c r="H406" s="183">
        <f t="shared" si="221"/>
        <v>0</v>
      </c>
      <c r="I406" s="183"/>
      <c r="J406" s="183">
        <f t="shared" si="222"/>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223"/>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224"/>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225"/>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226"/>
        <v>0</v>
      </c>
      <c r="AR406" s="183">
        <f t="shared" si="227"/>
        <v>0</v>
      </c>
    </row>
    <row r="407" spans="2:44" x14ac:dyDescent="0.25">
      <c r="B407" s="181" t="s">
        <v>1070</v>
      </c>
      <c r="C407" s="182" t="s">
        <v>1071</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220"/>
        <v>0</v>
      </c>
      <c r="G407" s="183"/>
      <c r="H407" s="183">
        <f t="shared" si="221"/>
        <v>0</v>
      </c>
      <c r="I407" s="183"/>
      <c r="J407" s="183">
        <f t="shared" si="222"/>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223"/>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224"/>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225"/>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226"/>
        <v>0</v>
      </c>
      <c r="AR407" s="183">
        <f t="shared" si="227"/>
        <v>0</v>
      </c>
    </row>
    <row r="408" spans="2:44" x14ac:dyDescent="0.25">
      <c r="B408" s="181" t="s">
        <v>1072</v>
      </c>
      <c r="C408" s="182" t="s">
        <v>1073</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220"/>
        <v>0</v>
      </c>
      <c r="G408" s="183"/>
      <c r="H408" s="183">
        <f t="shared" si="221"/>
        <v>0</v>
      </c>
      <c r="I408" s="183"/>
      <c r="J408" s="183">
        <f t="shared" si="222"/>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223"/>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224"/>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225"/>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226"/>
        <v>0</v>
      </c>
      <c r="AR408" s="183">
        <f t="shared" si="227"/>
        <v>0</v>
      </c>
    </row>
    <row r="409" spans="2:44" x14ac:dyDescent="0.25">
      <c r="B409" s="181" t="s">
        <v>1074</v>
      </c>
      <c r="C409" s="182" t="s">
        <v>1075</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220"/>
        <v>0</v>
      </c>
      <c r="G409" s="183"/>
      <c r="H409" s="183">
        <f t="shared" si="221"/>
        <v>0</v>
      </c>
      <c r="I409" s="183"/>
      <c r="J409" s="183">
        <f t="shared" si="222"/>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223"/>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224"/>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225"/>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226"/>
        <v>0</v>
      </c>
      <c r="AR409" s="183">
        <f t="shared" si="227"/>
        <v>0</v>
      </c>
    </row>
    <row r="410" spans="2:44" x14ac:dyDescent="0.25">
      <c r="B410" s="181" t="s">
        <v>1076</v>
      </c>
      <c r="C410" s="182" t="s">
        <v>1077</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220"/>
        <v>0</v>
      </c>
      <c r="G410" s="183"/>
      <c r="H410" s="183">
        <f t="shared" si="221"/>
        <v>0</v>
      </c>
      <c r="I410" s="183"/>
      <c r="J410" s="183">
        <f t="shared" si="222"/>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223"/>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224"/>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225"/>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226"/>
        <v>0</v>
      </c>
      <c r="AR410" s="183">
        <f t="shared" si="227"/>
        <v>0</v>
      </c>
    </row>
    <row r="411" spans="2:44" x14ac:dyDescent="0.25">
      <c r="B411" s="181" t="s">
        <v>1078</v>
      </c>
      <c r="C411" s="182" t="s">
        <v>1079</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220"/>
        <v>0</v>
      </c>
      <c r="G411" s="183"/>
      <c r="H411" s="183">
        <f t="shared" si="221"/>
        <v>0</v>
      </c>
      <c r="I411" s="183"/>
      <c r="J411" s="183">
        <f t="shared" si="222"/>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223"/>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224"/>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225"/>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226"/>
        <v>0</v>
      </c>
      <c r="AR411" s="183">
        <f t="shared" si="227"/>
        <v>0</v>
      </c>
    </row>
    <row r="412" spans="2:44" x14ac:dyDescent="0.25">
      <c r="B412" s="181" t="s">
        <v>1080</v>
      </c>
      <c r="C412" s="182" t="s">
        <v>1081</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220"/>
        <v>0</v>
      </c>
      <c r="G412" s="183"/>
      <c r="H412" s="183">
        <f t="shared" si="221"/>
        <v>0</v>
      </c>
      <c r="I412" s="183"/>
      <c r="J412" s="183">
        <f t="shared" si="222"/>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223"/>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224"/>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225"/>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226"/>
        <v>0</v>
      </c>
      <c r="AR412" s="183">
        <f t="shared" si="227"/>
        <v>0</v>
      </c>
    </row>
    <row r="413" spans="2:44" x14ac:dyDescent="0.25">
      <c r="B413" s="181" t="s">
        <v>1082</v>
      </c>
      <c r="C413" s="182" t="s">
        <v>1083</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220"/>
        <v>0</v>
      </c>
      <c r="G413" s="183"/>
      <c r="H413" s="183">
        <f t="shared" si="221"/>
        <v>0</v>
      </c>
      <c r="I413" s="183"/>
      <c r="J413" s="183">
        <f t="shared" si="222"/>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223"/>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224"/>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225"/>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226"/>
        <v>0</v>
      </c>
      <c r="AR413" s="183">
        <f t="shared" si="227"/>
        <v>0</v>
      </c>
    </row>
    <row r="414" spans="2:44" x14ac:dyDescent="0.25">
      <c r="B414" s="181" t="s">
        <v>1084</v>
      </c>
      <c r="C414" s="182" t="s">
        <v>1085</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220"/>
        <v>0</v>
      </c>
      <c r="G414" s="183"/>
      <c r="H414" s="183">
        <f t="shared" si="221"/>
        <v>0</v>
      </c>
      <c r="I414" s="183"/>
      <c r="J414" s="183">
        <f t="shared" si="222"/>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223"/>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224"/>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225"/>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226"/>
        <v>0</v>
      </c>
      <c r="AR414" s="183">
        <f t="shared" si="227"/>
        <v>0</v>
      </c>
    </row>
    <row r="415" spans="2:44" x14ac:dyDescent="0.25">
      <c r="B415" s="181" t="s">
        <v>1086</v>
      </c>
      <c r="C415" s="182" t="s">
        <v>1087</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220"/>
        <v>0</v>
      </c>
      <c r="G415" s="183"/>
      <c r="H415" s="183">
        <f t="shared" si="221"/>
        <v>0</v>
      </c>
      <c r="I415" s="183"/>
      <c r="J415" s="183">
        <f t="shared" si="222"/>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223"/>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224"/>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225"/>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226"/>
        <v>0</v>
      </c>
      <c r="AR415" s="183">
        <f t="shared" si="227"/>
        <v>0</v>
      </c>
    </row>
    <row r="416" spans="2:44" x14ac:dyDescent="0.25">
      <c r="B416" s="181" t="s">
        <v>1088</v>
      </c>
      <c r="C416" s="182" t="s">
        <v>1089</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220"/>
        <v>0</v>
      </c>
      <c r="G416" s="183"/>
      <c r="H416" s="183">
        <f t="shared" si="221"/>
        <v>0</v>
      </c>
      <c r="I416" s="183"/>
      <c r="J416" s="183">
        <f t="shared" si="222"/>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223"/>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224"/>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225"/>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226"/>
        <v>0</v>
      </c>
      <c r="AR416" s="183">
        <f t="shared" si="227"/>
        <v>0</v>
      </c>
    </row>
    <row r="417" spans="2:44" x14ac:dyDescent="0.25">
      <c r="B417" s="181" t="s">
        <v>1090</v>
      </c>
      <c r="C417" s="182" t="s">
        <v>1091</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220"/>
        <v>0</v>
      </c>
      <c r="G417" s="183"/>
      <c r="H417" s="183">
        <f t="shared" si="221"/>
        <v>0</v>
      </c>
      <c r="I417" s="183"/>
      <c r="J417" s="183">
        <f t="shared" si="222"/>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223"/>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224"/>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225"/>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226"/>
        <v>0</v>
      </c>
      <c r="AR417" s="183">
        <f t="shared" si="227"/>
        <v>0</v>
      </c>
    </row>
    <row r="418" spans="2:44" x14ac:dyDescent="0.25">
      <c r="B418" s="181" t="s">
        <v>1092</v>
      </c>
      <c r="C418" s="182" t="s">
        <v>1093</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220"/>
        <v>0</v>
      </c>
      <c r="G418" s="183"/>
      <c r="H418" s="183">
        <f t="shared" si="221"/>
        <v>0</v>
      </c>
      <c r="I418" s="183"/>
      <c r="J418" s="183">
        <f t="shared" si="222"/>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223"/>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224"/>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225"/>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226"/>
        <v>0</v>
      </c>
      <c r="AR418" s="183">
        <f t="shared" si="227"/>
        <v>0</v>
      </c>
    </row>
    <row r="419" spans="2:44" x14ac:dyDescent="0.25">
      <c r="B419" s="181" t="s">
        <v>1094</v>
      </c>
      <c r="C419" s="182" t="s">
        <v>1095</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220"/>
        <v>0</v>
      </c>
      <c r="G419" s="183"/>
      <c r="H419" s="183">
        <f t="shared" si="221"/>
        <v>0</v>
      </c>
      <c r="I419" s="183"/>
      <c r="J419" s="183">
        <f t="shared" si="222"/>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223"/>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224"/>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225"/>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226"/>
        <v>0</v>
      </c>
      <c r="AR419" s="183">
        <f t="shared" si="227"/>
        <v>0</v>
      </c>
    </row>
    <row r="420" spans="2:44" x14ac:dyDescent="0.25">
      <c r="B420" s="181" t="s">
        <v>1096</v>
      </c>
      <c r="C420" s="182" t="s">
        <v>1097</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228">D420+E420</f>
        <v>0</v>
      </c>
      <c r="G420" s="183"/>
      <c r="H420" s="183">
        <f t="shared" ref="H420:H428" si="229">F420-G420</f>
        <v>0</v>
      </c>
      <c r="I420" s="183"/>
      <c r="J420" s="183">
        <f t="shared" ref="J420:J428" si="230">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231">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232">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233">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234">AN420+AO420+AP420</f>
        <v>0</v>
      </c>
      <c r="AR420" s="183">
        <f t="shared" ref="AR420:AR428" si="235">AE420+AI420+AM420+AQ420</f>
        <v>0</v>
      </c>
    </row>
    <row r="421" spans="2:44" x14ac:dyDescent="0.25">
      <c r="B421" s="181" t="s">
        <v>1098</v>
      </c>
      <c r="C421" s="182" t="s">
        <v>1099</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228"/>
        <v>0</v>
      </c>
      <c r="G421" s="183"/>
      <c r="H421" s="183">
        <f t="shared" si="229"/>
        <v>0</v>
      </c>
      <c r="I421" s="183"/>
      <c r="J421" s="183">
        <f t="shared" si="230"/>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231"/>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232"/>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233"/>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234"/>
        <v>0</v>
      </c>
      <c r="AR421" s="183">
        <f t="shared" si="235"/>
        <v>0</v>
      </c>
    </row>
    <row r="422" spans="2:44" x14ac:dyDescent="0.25">
      <c r="B422" s="181" t="s">
        <v>1100</v>
      </c>
      <c r="C422" s="182" t="s">
        <v>1101</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228"/>
        <v>0</v>
      </c>
      <c r="G422" s="183"/>
      <c r="H422" s="183">
        <f t="shared" si="229"/>
        <v>0</v>
      </c>
      <c r="I422" s="183"/>
      <c r="J422" s="183">
        <f t="shared" si="230"/>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231"/>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232"/>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233"/>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234"/>
        <v>0</v>
      </c>
      <c r="AR422" s="183">
        <f t="shared" si="235"/>
        <v>0</v>
      </c>
    </row>
    <row r="423" spans="2:44" x14ac:dyDescent="0.25">
      <c r="B423" s="181" t="s">
        <v>1102</v>
      </c>
      <c r="C423" s="182" t="s">
        <v>1103</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228"/>
        <v>0</v>
      </c>
      <c r="G423" s="183"/>
      <c r="H423" s="183">
        <f t="shared" si="229"/>
        <v>0</v>
      </c>
      <c r="I423" s="183"/>
      <c r="J423" s="183">
        <f t="shared" si="230"/>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231"/>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232"/>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233"/>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234"/>
        <v>0</v>
      </c>
      <c r="AR423" s="183">
        <f t="shared" si="235"/>
        <v>0</v>
      </c>
    </row>
    <row r="424" spans="2:44" x14ac:dyDescent="0.25">
      <c r="B424" s="181" t="s">
        <v>1104</v>
      </c>
      <c r="C424" s="182" t="s">
        <v>1105</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228"/>
        <v>0</v>
      </c>
      <c r="G424" s="183"/>
      <c r="H424" s="183">
        <f t="shared" si="229"/>
        <v>0</v>
      </c>
      <c r="I424" s="183"/>
      <c r="J424" s="183">
        <f t="shared" si="230"/>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231"/>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232"/>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233"/>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234"/>
        <v>0</v>
      </c>
      <c r="AR424" s="183">
        <f t="shared" si="235"/>
        <v>0</v>
      </c>
    </row>
    <row r="425" spans="2:44" x14ac:dyDescent="0.25">
      <c r="B425" s="181" t="s">
        <v>1106</v>
      </c>
      <c r="C425" s="182" t="s">
        <v>1107</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228"/>
        <v>0</v>
      </c>
      <c r="G425" s="183"/>
      <c r="H425" s="183">
        <f t="shared" si="229"/>
        <v>0</v>
      </c>
      <c r="I425" s="183"/>
      <c r="J425" s="183">
        <f t="shared" si="230"/>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231"/>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232"/>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233"/>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234"/>
        <v>0</v>
      </c>
      <c r="AR425" s="183">
        <f t="shared" si="235"/>
        <v>0</v>
      </c>
    </row>
    <row r="426" spans="2:44" x14ac:dyDescent="0.25">
      <c r="B426" s="181" t="s">
        <v>363</v>
      </c>
      <c r="C426" s="182" t="s">
        <v>1108</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228"/>
        <v>0</v>
      </c>
      <c r="G426" s="183"/>
      <c r="H426" s="183">
        <f t="shared" si="229"/>
        <v>0</v>
      </c>
      <c r="I426" s="183"/>
      <c r="J426" s="183">
        <f t="shared" si="230"/>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231"/>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232"/>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233"/>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234"/>
        <v>0</v>
      </c>
      <c r="AR426" s="183">
        <f t="shared" si="235"/>
        <v>0</v>
      </c>
    </row>
    <row r="427" spans="2:44" x14ac:dyDescent="0.25">
      <c r="B427" s="181" t="s">
        <v>1109</v>
      </c>
      <c r="C427" s="182" t="s">
        <v>1110</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228"/>
        <v>0</v>
      </c>
      <c r="G427" s="183"/>
      <c r="H427" s="183">
        <f t="shared" si="229"/>
        <v>0</v>
      </c>
      <c r="I427" s="183"/>
      <c r="J427" s="183">
        <f t="shared" si="230"/>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231"/>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232"/>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233"/>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234"/>
        <v>0</v>
      </c>
      <c r="AR427" s="183">
        <f t="shared" si="235"/>
        <v>0</v>
      </c>
    </row>
    <row r="428" spans="2:44" x14ac:dyDescent="0.25">
      <c r="B428" s="181" t="s">
        <v>1111</v>
      </c>
      <c r="C428" s="182" t="s">
        <v>1101</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228"/>
        <v>0</v>
      </c>
      <c r="G428" s="183"/>
      <c r="H428" s="183">
        <f t="shared" si="229"/>
        <v>0</v>
      </c>
      <c r="I428" s="183"/>
      <c r="J428" s="183">
        <f t="shared" si="230"/>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231"/>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232"/>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233"/>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234"/>
        <v>0</v>
      </c>
      <c r="AR428" s="183">
        <f t="shared" si="235"/>
        <v>0</v>
      </c>
    </row>
    <row r="429" spans="2:44" x14ac:dyDescent="0.25">
      <c r="B429" s="181" t="s">
        <v>1112</v>
      </c>
      <c r="C429" s="182" t="s">
        <v>1113</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236">D429+E429</f>
        <v>0</v>
      </c>
      <c r="G429" s="183"/>
      <c r="H429" s="183">
        <f t="shared" ref="H429:H444" si="237">F429-G429</f>
        <v>0</v>
      </c>
      <c r="I429" s="183"/>
      <c r="J429" s="183">
        <f t="shared" ref="J429:J444" si="238">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239">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240">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241">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242">AN429+AO429+AP429</f>
        <v>0</v>
      </c>
      <c r="AR429" s="183">
        <f t="shared" ref="AR429:AR444" si="243">AE429+AI429+AM429+AQ429</f>
        <v>0</v>
      </c>
    </row>
    <row r="430" spans="2:44" x14ac:dyDescent="0.25">
      <c r="B430" s="181" t="s">
        <v>1114</v>
      </c>
      <c r="C430" s="182" t="s">
        <v>1115</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236"/>
        <v>0</v>
      </c>
      <c r="G430" s="183"/>
      <c r="H430" s="183">
        <f t="shared" si="237"/>
        <v>0</v>
      </c>
      <c r="I430" s="183"/>
      <c r="J430" s="183">
        <f t="shared" si="238"/>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239"/>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240"/>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241"/>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242"/>
        <v>0</v>
      </c>
      <c r="AR430" s="183">
        <f t="shared" si="243"/>
        <v>0</v>
      </c>
    </row>
    <row r="431" spans="2:44" x14ac:dyDescent="0.25">
      <c r="B431" s="181" t="s">
        <v>1116</v>
      </c>
      <c r="C431" s="182" t="s">
        <v>1117</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236"/>
        <v>0</v>
      </c>
      <c r="G431" s="183"/>
      <c r="H431" s="183">
        <f t="shared" si="237"/>
        <v>0</v>
      </c>
      <c r="I431" s="183"/>
      <c r="J431" s="183">
        <f t="shared" si="238"/>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239"/>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240"/>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241"/>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242"/>
        <v>0</v>
      </c>
      <c r="AR431" s="183">
        <f t="shared" si="243"/>
        <v>0</v>
      </c>
    </row>
    <row r="432" spans="2:44" x14ac:dyDescent="0.25">
      <c r="B432" s="181" t="s">
        <v>1118</v>
      </c>
      <c r="C432" s="182" t="s">
        <v>1119</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236"/>
        <v>0</v>
      </c>
      <c r="G432" s="183"/>
      <c r="H432" s="183">
        <f t="shared" si="237"/>
        <v>0</v>
      </c>
      <c r="I432" s="183"/>
      <c r="J432" s="183">
        <f t="shared" si="238"/>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239"/>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240"/>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241"/>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242"/>
        <v>0</v>
      </c>
      <c r="AR432" s="183">
        <f t="shared" si="243"/>
        <v>0</v>
      </c>
    </row>
    <row r="433" spans="2:44" x14ac:dyDescent="0.25">
      <c r="B433" s="181" t="s">
        <v>1120</v>
      </c>
      <c r="C433" s="182" t="s">
        <v>1121</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236"/>
        <v>0</v>
      </c>
      <c r="G433" s="183"/>
      <c r="H433" s="183">
        <f t="shared" si="237"/>
        <v>0</v>
      </c>
      <c r="I433" s="183"/>
      <c r="J433" s="183">
        <f t="shared" si="238"/>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239"/>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240"/>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241"/>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242"/>
        <v>0</v>
      </c>
      <c r="AR433" s="183">
        <f t="shared" si="243"/>
        <v>0</v>
      </c>
    </row>
    <row r="434" spans="2:44" x14ac:dyDescent="0.25">
      <c r="B434" s="181" t="s">
        <v>1122</v>
      </c>
      <c r="C434" s="182" t="s">
        <v>1123</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236"/>
        <v>0</v>
      </c>
      <c r="G434" s="183"/>
      <c r="H434" s="183">
        <f t="shared" si="237"/>
        <v>0</v>
      </c>
      <c r="I434" s="183"/>
      <c r="J434" s="183">
        <f t="shared" si="238"/>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239"/>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240"/>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241"/>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242"/>
        <v>0</v>
      </c>
      <c r="AR434" s="183">
        <f t="shared" si="243"/>
        <v>0</v>
      </c>
    </row>
    <row r="435" spans="2:44" x14ac:dyDescent="0.25">
      <c r="B435" s="181" t="s">
        <v>1124</v>
      </c>
      <c r="C435" s="182" t="s">
        <v>1125</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236"/>
        <v>0</v>
      </c>
      <c r="G435" s="183"/>
      <c r="H435" s="183">
        <f t="shared" si="237"/>
        <v>0</v>
      </c>
      <c r="I435" s="183"/>
      <c r="J435" s="183">
        <f t="shared" si="238"/>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239"/>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240"/>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241"/>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242"/>
        <v>0</v>
      </c>
      <c r="AR435" s="183">
        <f t="shared" si="243"/>
        <v>0</v>
      </c>
    </row>
    <row r="436" spans="2:44" x14ac:dyDescent="0.25">
      <c r="B436" s="181" t="s">
        <v>1126</v>
      </c>
      <c r="C436" s="182" t="s">
        <v>1127</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236"/>
        <v>0</v>
      </c>
      <c r="G436" s="183"/>
      <c r="H436" s="183">
        <f t="shared" si="237"/>
        <v>0</v>
      </c>
      <c r="I436" s="183"/>
      <c r="J436" s="183">
        <f t="shared" si="238"/>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239"/>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240"/>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241"/>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242"/>
        <v>0</v>
      </c>
      <c r="AR436" s="183">
        <f t="shared" si="243"/>
        <v>0</v>
      </c>
    </row>
    <row r="437" spans="2:44" x14ac:dyDescent="0.25">
      <c r="B437" s="181" t="s">
        <v>1128</v>
      </c>
      <c r="C437" s="182" t="s">
        <v>1129</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236"/>
        <v>0</v>
      </c>
      <c r="G437" s="183"/>
      <c r="H437" s="183">
        <f t="shared" si="237"/>
        <v>0</v>
      </c>
      <c r="I437" s="183"/>
      <c r="J437" s="183">
        <f t="shared" si="238"/>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239"/>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240"/>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241"/>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242"/>
        <v>0</v>
      </c>
      <c r="AR437" s="183">
        <f t="shared" si="243"/>
        <v>0</v>
      </c>
    </row>
    <row r="438" spans="2:44" x14ac:dyDescent="0.25">
      <c r="B438" s="181" t="s">
        <v>1130</v>
      </c>
      <c r="C438" s="182" t="s">
        <v>1131</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236"/>
        <v>0</v>
      </c>
      <c r="G438" s="183"/>
      <c r="H438" s="183">
        <f t="shared" si="237"/>
        <v>0</v>
      </c>
      <c r="I438" s="183"/>
      <c r="J438" s="183">
        <f t="shared" si="238"/>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239"/>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240"/>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241"/>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242"/>
        <v>0</v>
      </c>
      <c r="AR438" s="183">
        <f t="shared" si="243"/>
        <v>0</v>
      </c>
    </row>
    <row r="439" spans="2:44" x14ac:dyDescent="0.25">
      <c r="B439" s="181" t="s">
        <v>1132</v>
      </c>
      <c r="C439" s="182" t="s">
        <v>1133</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236"/>
        <v>0</v>
      </c>
      <c r="G439" s="183"/>
      <c r="H439" s="183">
        <f t="shared" si="237"/>
        <v>0</v>
      </c>
      <c r="I439" s="183"/>
      <c r="J439" s="183">
        <f t="shared" si="238"/>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239"/>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240"/>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241"/>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242"/>
        <v>0</v>
      </c>
      <c r="AR439" s="183">
        <f t="shared" si="243"/>
        <v>0</v>
      </c>
    </row>
    <row r="440" spans="2:44" x14ac:dyDescent="0.25">
      <c r="B440" s="181" t="s">
        <v>1134</v>
      </c>
      <c r="C440" s="182" t="s">
        <v>1135</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236"/>
        <v>0</v>
      </c>
      <c r="G440" s="183"/>
      <c r="H440" s="183">
        <f t="shared" si="237"/>
        <v>0</v>
      </c>
      <c r="I440" s="183"/>
      <c r="J440" s="183">
        <f t="shared" si="238"/>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239"/>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240"/>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241"/>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242"/>
        <v>0</v>
      </c>
      <c r="AR440" s="183">
        <f t="shared" si="243"/>
        <v>0</v>
      </c>
    </row>
    <row r="441" spans="2:44" x14ac:dyDescent="0.25">
      <c r="B441" s="181" t="s">
        <v>1136</v>
      </c>
      <c r="C441" s="182" t="s">
        <v>1137</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236"/>
        <v>0</v>
      </c>
      <c r="G441" s="183"/>
      <c r="H441" s="183">
        <f t="shared" si="237"/>
        <v>0</v>
      </c>
      <c r="I441" s="183"/>
      <c r="J441" s="183">
        <f t="shared" si="238"/>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239"/>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240"/>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241"/>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242"/>
        <v>0</v>
      </c>
      <c r="AR441" s="183">
        <f t="shared" si="243"/>
        <v>0</v>
      </c>
    </row>
    <row r="442" spans="2:44" x14ac:dyDescent="0.25">
      <c r="B442" s="181" t="s">
        <v>1138</v>
      </c>
      <c r="C442" s="182" t="s">
        <v>1139</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236"/>
        <v>0</v>
      </c>
      <c r="G442" s="183"/>
      <c r="H442" s="183">
        <f t="shared" si="237"/>
        <v>0</v>
      </c>
      <c r="I442" s="183"/>
      <c r="J442" s="183">
        <f t="shared" si="238"/>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239"/>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240"/>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241"/>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242"/>
        <v>0</v>
      </c>
      <c r="AR442" s="183">
        <f t="shared" si="243"/>
        <v>0</v>
      </c>
    </row>
    <row r="443" spans="2:44" x14ac:dyDescent="0.25">
      <c r="B443" s="181" t="s">
        <v>1140</v>
      </c>
      <c r="C443" s="182" t="s">
        <v>1141</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236"/>
        <v>0</v>
      </c>
      <c r="G443" s="183"/>
      <c r="H443" s="183">
        <f t="shared" si="237"/>
        <v>0</v>
      </c>
      <c r="I443" s="183"/>
      <c r="J443" s="183">
        <f t="shared" si="238"/>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239"/>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240"/>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241"/>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242"/>
        <v>0</v>
      </c>
      <c r="AR443" s="183">
        <f t="shared" si="243"/>
        <v>0</v>
      </c>
    </row>
    <row r="444" spans="2:44" x14ac:dyDescent="0.25">
      <c r="B444" s="181" t="s">
        <v>1142</v>
      </c>
      <c r="C444" s="182" t="s">
        <v>1143</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236"/>
        <v>0</v>
      </c>
      <c r="G444" s="183"/>
      <c r="H444" s="183">
        <f t="shared" si="237"/>
        <v>0</v>
      </c>
      <c r="I444" s="183"/>
      <c r="J444" s="183">
        <f t="shared" si="238"/>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239"/>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240"/>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241"/>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242"/>
        <v>0</v>
      </c>
      <c r="AR444" s="183">
        <f t="shared" si="243"/>
        <v>0</v>
      </c>
    </row>
    <row r="445" spans="2:44" x14ac:dyDescent="0.25">
      <c r="B445" s="181" t="s">
        <v>1144</v>
      </c>
      <c r="C445" s="182" t="s">
        <v>1145</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 t="shared" ref="F445:F476" si="244">D445+E445</f>
        <v>0</v>
      </c>
      <c r="G445" s="183"/>
      <c r="H445" s="183">
        <f t="shared" ref="H445:H476" si="245">F445-G445</f>
        <v>0</v>
      </c>
      <c r="I445" s="183"/>
      <c r="J445" s="183">
        <f t="shared" ref="J445:J476" si="246">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 t="shared" ref="AE445:AE476" si="247">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 t="shared" ref="AI445:AI476" si="248">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 t="shared" ref="AM445:AM476" si="249">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 t="shared" ref="AQ445:AQ476" si="250">AN445+AO445+AP445</f>
        <v>0</v>
      </c>
      <c r="AR445" s="183">
        <f t="shared" ref="AR445:AR476" si="251">AE445+AI445+AM445+AQ445</f>
        <v>0</v>
      </c>
    </row>
    <row r="446" spans="2:44" x14ac:dyDescent="0.25">
      <c r="B446" s="181" t="s">
        <v>1146</v>
      </c>
      <c r="C446" s="182" t="s">
        <v>1147</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 t="shared" si="244"/>
        <v>0</v>
      </c>
      <c r="G446" s="183"/>
      <c r="H446" s="183">
        <f t="shared" si="245"/>
        <v>0</v>
      </c>
      <c r="I446" s="183"/>
      <c r="J446" s="183">
        <f t="shared" si="246"/>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 t="shared" si="247"/>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 t="shared" si="248"/>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 t="shared" si="249"/>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 t="shared" si="250"/>
        <v>0</v>
      </c>
      <c r="AR446" s="183">
        <f t="shared" si="251"/>
        <v>0</v>
      </c>
    </row>
    <row r="447" spans="2:44" x14ac:dyDescent="0.25">
      <c r="B447" s="181" t="s">
        <v>1148</v>
      </c>
      <c r="C447" s="182" t="s">
        <v>1149</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 t="shared" si="244"/>
        <v>0</v>
      </c>
      <c r="G447" s="183"/>
      <c r="H447" s="183">
        <f t="shared" si="245"/>
        <v>0</v>
      </c>
      <c r="I447" s="183"/>
      <c r="J447" s="183">
        <f t="shared" si="246"/>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 t="shared" si="247"/>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 t="shared" si="248"/>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 t="shared" si="249"/>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 t="shared" si="250"/>
        <v>0</v>
      </c>
      <c r="AR447" s="183">
        <f t="shared" si="251"/>
        <v>0</v>
      </c>
    </row>
    <row r="448" spans="2:44" x14ac:dyDescent="0.25">
      <c r="B448" s="181" t="s">
        <v>1150</v>
      </c>
      <c r="C448" s="182" t="s">
        <v>1151</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 t="shared" si="244"/>
        <v>0</v>
      </c>
      <c r="G448" s="183"/>
      <c r="H448" s="183">
        <f t="shared" si="245"/>
        <v>0</v>
      </c>
      <c r="I448" s="183"/>
      <c r="J448" s="183">
        <f t="shared" si="246"/>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 t="shared" si="247"/>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 t="shared" si="248"/>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 t="shared" si="249"/>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 t="shared" si="250"/>
        <v>0</v>
      </c>
      <c r="AR448" s="183">
        <f t="shared" si="251"/>
        <v>0</v>
      </c>
    </row>
    <row r="449" spans="2:44" x14ac:dyDescent="0.25">
      <c r="B449" s="181" t="s">
        <v>1152</v>
      </c>
      <c r="C449" s="182" t="s">
        <v>1153</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si="244"/>
        <v>0</v>
      </c>
      <c r="G449" s="183"/>
      <c r="H449" s="183">
        <f t="shared" si="245"/>
        <v>0</v>
      </c>
      <c r="I449" s="183"/>
      <c r="J449" s="183">
        <f t="shared" si="246"/>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si="247"/>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si="248"/>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si="249"/>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si="250"/>
        <v>0</v>
      </c>
      <c r="AR449" s="183">
        <f t="shared" si="251"/>
        <v>0</v>
      </c>
    </row>
    <row r="450" spans="2:44" x14ac:dyDescent="0.25">
      <c r="B450" s="181" t="s">
        <v>1154</v>
      </c>
      <c r="C450" s="182" t="s">
        <v>1155</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244"/>
        <v>0</v>
      </c>
      <c r="G450" s="183"/>
      <c r="H450" s="183">
        <f t="shared" si="245"/>
        <v>0</v>
      </c>
      <c r="I450" s="183"/>
      <c r="J450" s="183">
        <f t="shared" si="246"/>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247"/>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248"/>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249"/>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250"/>
        <v>0</v>
      </c>
      <c r="AR450" s="183">
        <f t="shared" si="251"/>
        <v>0</v>
      </c>
    </row>
    <row r="451" spans="2:44" x14ac:dyDescent="0.25">
      <c r="B451" s="181" t="s">
        <v>1156</v>
      </c>
      <c r="C451" s="182" t="s">
        <v>1157</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244"/>
        <v>0</v>
      </c>
      <c r="G451" s="183"/>
      <c r="H451" s="183">
        <f t="shared" si="245"/>
        <v>0</v>
      </c>
      <c r="I451" s="183"/>
      <c r="J451" s="183">
        <f t="shared" si="246"/>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247"/>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248"/>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249"/>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250"/>
        <v>0</v>
      </c>
      <c r="AR451" s="183">
        <f t="shared" si="251"/>
        <v>0</v>
      </c>
    </row>
    <row r="452" spans="2:44" x14ac:dyDescent="0.25">
      <c r="B452" s="181" t="s">
        <v>1158</v>
      </c>
      <c r="C452" s="182" t="s">
        <v>1159</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244"/>
        <v>0</v>
      </c>
      <c r="G452" s="183"/>
      <c r="H452" s="183">
        <f t="shared" si="245"/>
        <v>0</v>
      </c>
      <c r="I452" s="183"/>
      <c r="J452" s="183">
        <f t="shared" si="246"/>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247"/>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248"/>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249"/>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250"/>
        <v>0</v>
      </c>
      <c r="AR452" s="183">
        <f t="shared" si="251"/>
        <v>0</v>
      </c>
    </row>
    <row r="453" spans="2:44" x14ac:dyDescent="0.25">
      <c r="B453" s="181" t="s">
        <v>353</v>
      </c>
      <c r="C453" s="182" t="s">
        <v>221</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244"/>
        <v>0</v>
      </c>
      <c r="G453" s="183"/>
      <c r="H453" s="183">
        <f t="shared" si="245"/>
        <v>0</v>
      </c>
      <c r="I453" s="183"/>
      <c r="J453" s="183">
        <f t="shared" si="246"/>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247"/>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248"/>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249"/>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250"/>
        <v>0</v>
      </c>
      <c r="AR453" s="183">
        <f t="shared" si="251"/>
        <v>0</v>
      </c>
    </row>
    <row r="454" spans="2:44" x14ac:dyDescent="0.25">
      <c r="B454" s="181" t="s">
        <v>1160</v>
      </c>
      <c r="C454" s="182" t="s">
        <v>1161</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si="244"/>
        <v>0</v>
      </c>
      <c r="G454" s="183"/>
      <c r="H454" s="183">
        <f t="shared" si="245"/>
        <v>0</v>
      </c>
      <c r="I454" s="183"/>
      <c r="J454" s="183">
        <f t="shared" si="246"/>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si="247"/>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si="248"/>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si="249"/>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si="250"/>
        <v>0</v>
      </c>
      <c r="AR454" s="183">
        <f t="shared" si="251"/>
        <v>0</v>
      </c>
    </row>
    <row r="455" spans="2:44" x14ac:dyDescent="0.25">
      <c r="B455" s="181" t="s">
        <v>1162</v>
      </c>
      <c r="C455" s="182" t="s">
        <v>1163</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244"/>
        <v>0</v>
      </c>
      <c r="G455" s="183"/>
      <c r="H455" s="183">
        <f t="shared" si="245"/>
        <v>0</v>
      </c>
      <c r="I455" s="183"/>
      <c r="J455" s="183">
        <f t="shared" si="246"/>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247"/>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248"/>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249"/>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250"/>
        <v>0</v>
      </c>
      <c r="AR455" s="183">
        <f t="shared" si="251"/>
        <v>0</v>
      </c>
    </row>
    <row r="456" spans="2:44" x14ac:dyDescent="0.25">
      <c r="B456" s="181" t="s">
        <v>1164</v>
      </c>
      <c r="C456" s="182" t="s">
        <v>1165</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244"/>
        <v>0</v>
      </c>
      <c r="G456" s="183"/>
      <c r="H456" s="183">
        <f t="shared" si="245"/>
        <v>0</v>
      </c>
      <c r="I456" s="183"/>
      <c r="J456" s="183">
        <f t="shared" si="246"/>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247"/>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248"/>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249"/>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250"/>
        <v>0</v>
      </c>
      <c r="AR456" s="183">
        <f t="shared" si="251"/>
        <v>0</v>
      </c>
    </row>
    <row r="457" spans="2:44" x14ac:dyDescent="0.25">
      <c r="B457" s="181" t="s">
        <v>1166</v>
      </c>
      <c r="C457" s="182" t="s">
        <v>1167</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244"/>
        <v>0</v>
      </c>
      <c r="G457" s="183"/>
      <c r="H457" s="183">
        <f t="shared" si="245"/>
        <v>0</v>
      </c>
      <c r="I457" s="183"/>
      <c r="J457" s="183">
        <f t="shared" si="246"/>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247"/>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248"/>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249"/>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250"/>
        <v>0</v>
      </c>
      <c r="AR457" s="183">
        <f t="shared" si="251"/>
        <v>0</v>
      </c>
    </row>
    <row r="458" spans="2:44" x14ac:dyDescent="0.25">
      <c r="B458" s="181" t="s">
        <v>1168</v>
      </c>
      <c r="C458" s="182" t="s">
        <v>1169</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244"/>
        <v>0</v>
      </c>
      <c r="G458" s="183"/>
      <c r="H458" s="183">
        <f t="shared" si="245"/>
        <v>0</v>
      </c>
      <c r="I458" s="183"/>
      <c r="J458" s="183">
        <f t="shared" si="246"/>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247"/>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248"/>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249"/>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250"/>
        <v>0</v>
      </c>
      <c r="AR458" s="183">
        <f t="shared" si="251"/>
        <v>0</v>
      </c>
    </row>
    <row r="459" spans="2:44" x14ac:dyDescent="0.25">
      <c r="B459" s="190" t="s">
        <v>354</v>
      </c>
      <c r="C459" s="191" t="s">
        <v>222</v>
      </c>
      <c r="D459" s="192">
        <f>SUM(D460:D466)</f>
        <v>0</v>
      </c>
      <c r="E459" s="192">
        <f>SUM(E460:E466)</f>
        <v>0</v>
      </c>
      <c r="F459" s="192">
        <f t="shared" si="244"/>
        <v>0</v>
      </c>
      <c r="G459" s="192">
        <f>SUM(G460:G466)</f>
        <v>0</v>
      </c>
      <c r="H459" s="192">
        <f t="shared" si="245"/>
        <v>0</v>
      </c>
      <c r="I459" s="192">
        <f>SUM(I460:I466)</f>
        <v>0</v>
      </c>
      <c r="J459" s="192">
        <f t="shared" si="246"/>
        <v>0</v>
      </c>
      <c r="K459" s="192">
        <f t="shared" ref="K459:AD459" si="252">SUM(K460:K466)</f>
        <v>0</v>
      </c>
      <c r="L459" s="192">
        <f t="shared" si="252"/>
        <v>0</v>
      </c>
      <c r="M459" s="192">
        <f t="shared" si="252"/>
        <v>0</v>
      </c>
      <c r="N459" s="192">
        <f t="shared" si="252"/>
        <v>0</v>
      </c>
      <c r="O459" s="192">
        <f t="shared" si="252"/>
        <v>0</v>
      </c>
      <c r="P459" s="192">
        <f>SUM(P460:P466)</f>
        <v>0</v>
      </c>
      <c r="Q459" s="192">
        <f>SUM(Q460:Q466)</f>
        <v>0</v>
      </c>
      <c r="R459" s="192">
        <f t="shared" si="252"/>
        <v>0</v>
      </c>
      <c r="S459" s="192">
        <f t="shared" si="252"/>
        <v>0</v>
      </c>
      <c r="T459" s="192">
        <f>SUM(T460:T466)</f>
        <v>0</v>
      </c>
      <c r="U459" s="192">
        <f t="shared" si="252"/>
        <v>0</v>
      </c>
      <c r="V459" s="192">
        <f t="shared" si="252"/>
        <v>0</v>
      </c>
      <c r="W459" s="192">
        <f>SUM(W460:W466)</f>
        <v>0</v>
      </c>
      <c r="X459" s="192">
        <f t="shared" si="252"/>
        <v>0</v>
      </c>
      <c r="Y459" s="192">
        <f>SUM(Y460:Y466)</f>
        <v>0</v>
      </c>
      <c r="Z459" s="192">
        <f>SUM(Z460:Z466)</f>
        <v>0</v>
      </c>
      <c r="AA459" s="192">
        <f t="shared" si="252"/>
        <v>0</v>
      </c>
      <c r="AB459" s="192">
        <f t="shared" si="252"/>
        <v>0</v>
      </c>
      <c r="AC459" s="192">
        <f t="shared" si="252"/>
        <v>0</v>
      </c>
      <c r="AD459" s="192">
        <f t="shared" si="252"/>
        <v>0</v>
      </c>
      <c r="AE459" s="192">
        <f t="shared" si="247"/>
        <v>0</v>
      </c>
      <c r="AF459" s="192">
        <f>SUM(AF460:AF466)</f>
        <v>0</v>
      </c>
      <c r="AG459" s="192">
        <f>SUM(AG460:AG466)</f>
        <v>0</v>
      </c>
      <c r="AH459" s="192">
        <f>SUM(AH460:AH466)</f>
        <v>0</v>
      </c>
      <c r="AI459" s="192">
        <f t="shared" si="248"/>
        <v>0</v>
      </c>
      <c r="AJ459" s="192">
        <f>SUM(AJ460:AJ466)</f>
        <v>0</v>
      </c>
      <c r="AK459" s="192">
        <f>SUM(AK460:AK466)</f>
        <v>0</v>
      </c>
      <c r="AL459" s="192">
        <f>SUM(AL460:AL466)</f>
        <v>0</v>
      </c>
      <c r="AM459" s="192">
        <f t="shared" si="249"/>
        <v>0</v>
      </c>
      <c r="AN459" s="192">
        <f>SUM(AN460:AN466)</f>
        <v>0</v>
      </c>
      <c r="AO459" s="192">
        <f>SUM(AO460:AO466)</f>
        <v>0</v>
      </c>
      <c r="AP459" s="192">
        <f>SUM(AP460:AP466)</f>
        <v>0</v>
      </c>
      <c r="AQ459" s="192">
        <f t="shared" si="250"/>
        <v>0</v>
      </c>
      <c r="AR459" s="192">
        <f t="shared" si="251"/>
        <v>0</v>
      </c>
    </row>
    <row r="460" spans="2:44" x14ac:dyDescent="0.25">
      <c r="B460" s="181" t="s">
        <v>355</v>
      </c>
      <c r="C460" s="182" t="s">
        <v>223</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si="244"/>
        <v>0</v>
      </c>
      <c r="G460" s="183"/>
      <c r="H460" s="183">
        <f t="shared" si="245"/>
        <v>0</v>
      </c>
      <c r="I460" s="183"/>
      <c r="J460" s="183">
        <f t="shared" si="246"/>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si="247"/>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si="248"/>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si="249"/>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si="250"/>
        <v>0</v>
      </c>
      <c r="AR460" s="183">
        <f t="shared" si="251"/>
        <v>0</v>
      </c>
    </row>
    <row r="461" spans="2:44" x14ac:dyDescent="0.25">
      <c r="B461" s="181" t="s">
        <v>1170</v>
      </c>
      <c r="C461" s="182" t="s">
        <v>1171</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244"/>
        <v>0</v>
      </c>
      <c r="G461" s="183"/>
      <c r="H461" s="183">
        <f t="shared" si="245"/>
        <v>0</v>
      </c>
      <c r="I461" s="183"/>
      <c r="J461" s="183">
        <f t="shared" si="246"/>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247"/>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248"/>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249"/>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250"/>
        <v>0</v>
      </c>
      <c r="AR461" s="183">
        <f t="shared" si="251"/>
        <v>0</v>
      </c>
    </row>
    <row r="462" spans="2:44" x14ac:dyDescent="0.25">
      <c r="B462" s="181" t="s">
        <v>1172</v>
      </c>
      <c r="C462" s="182" t="s">
        <v>1173</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244"/>
        <v>0</v>
      </c>
      <c r="G462" s="183"/>
      <c r="H462" s="183">
        <f t="shared" si="245"/>
        <v>0</v>
      </c>
      <c r="I462" s="183"/>
      <c r="J462" s="183">
        <f t="shared" si="246"/>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247"/>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248"/>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249"/>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250"/>
        <v>0</v>
      </c>
      <c r="AR462" s="183">
        <f t="shared" si="251"/>
        <v>0</v>
      </c>
    </row>
    <row r="463" spans="2:44" x14ac:dyDescent="0.25">
      <c r="B463" s="181" t="s">
        <v>1174</v>
      </c>
      <c r="C463" s="182" t="s">
        <v>1175</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244"/>
        <v>0</v>
      </c>
      <c r="G463" s="183"/>
      <c r="H463" s="183">
        <f t="shared" si="245"/>
        <v>0</v>
      </c>
      <c r="I463" s="183"/>
      <c r="J463" s="183">
        <f t="shared" si="246"/>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247"/>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248"/>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249"/>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250"/>
        <v>0</v>
      </c>
      <c r="AR463" s="183">
        <f t="shared" si="251"/>
        <v>0</v>
      </c>
    </row>
    <row r="464" spans="2:44" x14ac:dyDescent="0.25">
      <c r="B464" s="181" t="s">
        <v>1176</v>
      </c>
      <c r="C464" s="182" t="s">
        <v>1177</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si="244"/>
        <v>0</v>
      </c>
      <c r="G464" s="183"/>
      <c r="H464" s="183">
        <f t="shared" si="245"/>
        <v>0</v>
      </c>
      <c r="I464" s="183"/>
      <c r="J464" s="183">
        <f t="shared" si="246"/>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si="247"/>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si="248"/>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si="249"/>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si="250"/>
        <v>0</v>
      </c>
      <c r="AR464" s="183">
        <f t="shared" si="251"/>
        <v>0</v>
      </c>
    </row>
    <row r="465" spans="2:44" x14ac:dyDescent="0.25">
      <c r="B465" s="181" t="s">
        <v>1178</v>
      </c>
      <c r="C465" s="182" t="s">
        <v>1179</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si="244"/>
        <v>0</v>
      </c>
      <c r="G465" s="183"/>
      <c r="H465" s="183">
        <f t="shared" si="245"/>
        <v>0</v>
      </c>
      <c r="I465" s="183"/>
      <c r="J465" s="183">
        <f t="shared" si="246"/>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si="247"/>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si="248"/>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si="249"/>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si="250"/>
        <v>0</v>
      </c>
      <c r="AR465" s="183">
        <f t="shared" si="251"/>
        <v>0</v>
      </c>
    </row>
    <row r="466" spans="2:44" x14ac:dyDescent="0.25">
      <c r="B466" s="181" t="s">
        <v>1180</v>
      </c>
      <c r="C466" s="182" t="s">
        <v>1181</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244"/>
        <v>0</v>
      </c>
      <c r="G466" s="183"/>
      <c r="H466" s="183">
        <f t="shared" si="245"/>
        <v>0</v>
      </c>
      <c r="I466" s="183"/>
      <c r="J466" s="183">
        <f t="shared" si="246"/>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247"/>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248"/>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249"/>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250"/>
        <v>0</v>
      </c>
      <c r="AR466" s="183">
        <f t="shared" si="251"/>
        <v>0</v>
      </c>
    </row>
    <row r="467" spans="2:44" x14ac:dyDescent="0.25">
      <c r="B467" s="190" t="s">
        <v>356</v>
      </c>
      <c r="C467" s="191" t="s">
        <v>224</v>
      </c>
      <c r="D467" s="192">
        <f>SUM(D468:D484)</f>
        <v>20000</v>
      </c>
      <c r="E467" s="192">
        <f>SUM(E468:E484)</f>
        <v>0</v>
      </c>
      <c r="F467" s="192">
        <f t="shared" si="244"/>
        <v>20000</v>
      </c>
      <c r="G467" s="192">
        <f>SUM(G468:G484)</f>
        <v>0</v>
      </c>
      <c r="H467" s="192">
        <f t="shared" si="245"/>
        <v>20000</v>
      </c>
      <c r="I467" s="192">
        <f>SUM(I468:I484)</f>
        <v>0</v>
      </c>
      <c r="J467" s="192">
        <f t="shared" si="246"/>
        <v>20000</v>
      </c>
      <c r="K467" s="192">
        <f t="shared" ref="K467:AD467" si="253">SUM(K468:K484)</f>
        <v>0</v>
      </c>
      <c r="L467" s="192">
        <f t="shared" si="253"/>
        <v>0</v>
      </c>
      <c r="M467" s="192">
        <f t="shared" si="253"/>
        <v>0</v>
      </c>
      <c r="N467" s="192">
        <f t="shared" si="253"/>
        <v>0</v>
      </c>
      <c r="O467" s="192">
        <f t="shared" si="253"/>
        <v>0</v>
      </c>
      <c r="P467" s="192">
        <f t="shared" si="253"/>
        <v>0</v>
      </c>
      <c r="Q467" s="192">
        <f t="shared" si="253"/>
        <v>20000</v>
      </c>
      <c r="R467" s="192">
        <f t="shared" si="253"/>
        <v>0</v>
      </c>
      <c r="S467" s="192">
        <f t="shared" si="253"/>
        <v>0</v>
      </c>
      <c r="T467" s="192">
        <f>SUM(T468:T484)</f>
        <v>0</v>
      </c>
      <c r="U467" s="192">
        <f t="shared" si="253"/>
        <v>0</v>
      </c>
      <c r="V467" s="192">
        <f t="shared" si="253"/>
        <v>0</v>
      </c>
      <c r="W467" s="192">
        <f t="shared" si="253"/>
        <v>0</v>
      </c>
      <c r="X467" s="192">
        <f t="shared" si="253"/>
        <v>0</v>
      </c>
      <c r="Y467" s="192">
        <f>SUM(Y468:Y484)</f>
        <v>0</v>
      </c>
      <c r="Z467" s="192">
        <f>SUM(Z468:Z484)</f>
        <v>0</v>
      </c>
      <c r="AA467" s="192">
        <f t="shared" si="253"/>
        <v>0</v>
      </c>
      <c r="AB467" s="192">
        <f t="shared" si="253"/>
        <v>0</v>
      </c>
      <c r="AC467" s="192">
        <f t="shared" si="253"/>
        <v>0</v>
      </c>
      <c r="AD467" s="192">
        <f t="shared" si="253"/>
        <v>0</v>
      </c>
      <c r="AE467" s="192">
        <f t="shared" si="247"/>
        <v>0</v>
      </c>
      <c r="AF467" s="192">
        <f>SUM(AF468:AF484)</f>
        <v>0</v>
      </c>
      <c r="AG467" s="192">
        <f>SUM(AG468:AG484)</f>
        <v>0</v>
      </c>
      <c r="AH467" s="192">
        <f>SUM(AH468:AH484)</f>
        <v>0</v>
      </c>
      <c r="AI467" s="192">
        <f t="shared" si="248"/>
        <v>0</v>
      </c>
      <c r="AJ467" s="192">
        <f>SUM(AJ468:AJ484)</f>
        <v>0</v>
      </c>
      <c r="AK467" s="192">
        <f>SUM(AK468:AK484)</f>
        <v>0</v>
      </c>
      <c r="AL467" s="192">
        <f>SUM(AL468:AL484)</f>
        <v>20000</v>
      </c>
      <c r="AM467" s="192">
        <f t="shared" si="249"/>
        <v>20000</v>
      </c>
      <c r="AN467" s="192">
        <f>SUM(AN468:AN484)</f>
        <v>0</v>
      </c>
      <c r="AO467" s="192">
        <f>SUM(AO468:AO484)</f>
        <v>0</v>
      </c>
      <c r="AP467" s="192">
        <f>SUM(AP468:AP484)</f>
        <v>0</v>
      </c>
      <c r="AQ467" s="192">
        <f t="shared" si="250"/>
        <v>0</v>
      </c>
      <c r="AR467" s="192">
        <f t="shared" si="251"/>
        <v>20000</v>
      </c>
    </row>
    <row r="468" spans="2:44" x14ac:dyDescent="0.25">
      <c r="B468" s="181" t="s">
        <v>1182</v>
      </c>
      <c r="C468" s="182" t="s">
        <v>1183</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si="244"/>
        <v>0</v>
      </c>
      <c r="G468" s="183"/>
      <c r="H468" s="183">
        <f t="shared" si="245"/>
        <v>0</v>
      </c>
      <c r="I468" s="183"/>
      <c r="J468" s="183">
        <f t="shared" si="246"/>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si="247"/>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si="248"/>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si="249"/>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si="250"/>
        <v>0</v>
      </c>
      <c r="AR468" s="183">
        <f t="shared" si="251"/>
        <v>0</v>
      </c>
    </row>
    <row r="469" spans="2:44" x14ac:dyDescent="0.25">
      <c r="B469" s="181" t="s">
        <v>357</v>
      </c>
      <c r="C469" s="182" t="s">
        <v>225</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 t="shared" si="244"/>
        <v>0</v>
      </c>
      <c r="G469" s="183"/>
      <c r="H469" s="183">
        <f t="shared" si="245"/>
        <v>0</v>
      </c>
      <c r="I469" s="183"/>
      <c r="J469" s="183">
        <f t="shared" si="246"/>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 t="shared" si="247"/>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 t="shared" si="248"/>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 t="shared" si="249"/>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 t="shared" si="250"/>
        <v>0</v>
      </c>
      <c r="AR469" s="183">
        <f t="shared" si="251"/>
        <v>0</v>
      </c>
    </row>
    <row r="470" spans="2:44" x14ac:dyDescent="0.25">
      <c r="B470" s="181" t="s">
        <v>364</v>
      </c>
      <c r="C470" s="182" t="s">
        <v>230</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 t="shared" si="244"/>
        <v>0</v>
      </c>
      <c r="G470" s="183"/>
      <c r="H470" s="183">
        <f t="shared" si="245"/>
        <v>0</v>
      </c>
      <c r="I470" s="183"/>
      <c r="J470" s="183">
        <f t="shared" si="246"/>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 t="shared" si="247"/>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 t="shared" si="248"/>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 t="shared" si="249"/>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 t="shared" si="250"/>
        <v>0</v>
      </c>
      <c r="AR470" s="183">
        <f t="shared" si="251"/>
        <v>0</v>
      </c>
    </row>
    <row r="471" spans="2:44" x14ac:dyDescent="0.25">
      <c r="B471" s="181" t="s">
        <v>1184</v>
      </c>
      <c r="C471" s="182" t="s">
        <v>1185</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 t="shared" si="244"/>
        <v>20000</v>
      </c>
      <c r="G471" s="183"/>
      <c r="H471" s="183">
        <f t="shared" si="245"/>
        <v>20000</v>
      </c>
      <c r="I471" s="183"/>
      <c r="J471" s="183">
        <f t="shared" si="246"/>
        <v>20000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 t="shared" si="247"/>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 t="shared" si="248"/>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M471" s="183">
        <f t="shared" si="249"/>
        <v>20000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 t="shared" si="250"/>
        <v>0</v>
      </c>
      <c r="AR471" s="183">
        <f t="shared" si="251"/>
        <v>20000</v>
      </c>
    </row>
    <row r="472" spans="2:44" x14ac:dyDescent="0.25">
      <c r="B472" s="181" t="s">
        <v>1186</v>
      </c>
      <c r="C472" s="182" t="s">
        <v>1187</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 t="shared" si="244"/>
        <v>0</v>
      </c>
      <c r="G472" s="183"/>
      <c r="H472" s="183">
        <f t="shared" si="245"/>
        <v>0</v>
      </c>
      <c r="I472" s="183"/>
      <c r="J472" s="183">
        <f t="shared" si="246"/>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 t="shared" si="247"/>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 t="shared" si="248"/>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 t="shared" si="249"/>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 t="shared" si="250"/>
        <v>0</v>
      </c>
      <c r="AR472" s="183">
        <f t="shared" si="251"/>
        <v>0</v>
      </c>
    </row>
    <row r="473" spans="2:44" x14ac:dyDescent="0.25">
      <c r="B473" s="181" t="s">
        <v>1188</v>
      </c>
      <c r="C473" s="182" t="s">
        <v>1189</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 t="shared" si="244"/>
        <v>0</v>
      </c>
      <c r="G473" s="183"/>
      <c r="H473" s="183">
        <f t="shared" si="245"/>
        <v>0</v>
      </c>
      <c r="I473" s="183"/>
      <c r="J473" s="183">
        <f t="shared" si="246"/>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 t="shared" si="247"/>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 t="shared" si="248"/>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 t="shared" si="249"/>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 t="shared" si="250"/>
        <v>0</v>
      </c>
      <c r="AR473" s="183">
        <f t="shared" si="251"/>
        <v>0</v>
      </c>
    </row>
    <row r="474" spans="2:44" x14ac:dyDescent="0.25">
      <c r="B474" s="181" t="s">
        <v>1190</v>
      </c>
      <c r="C474" s="182" t="s">
        <v>1191</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si="244"/>
        <v>0</v>
      </c>
      <c r="G474" s="183"/>
      <c r="H474" s="183">
        <f t="shared" si="245"/>
        <v>0</v>
      </c>
      <c r="I474" s="183"/>
      <c r="J474" s="183">
        <f t="shared" si="246"/>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si="247"/>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si="248"/>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si="249"/>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si="250"/>
        <v>0</v>
      </c>
      <c r="AR474" s="183">
        <f t="shared" si="251"/>
        <v>0</v>
      </c>
    </row>
    <row r="475" spans="2:44" x14ac:dyDescent="0.25">
      <c r="B475" s="181" t="s">
        <v>1192</v>
      </c>
      <c r="C475" s="182" t="s">
        <v>1193</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244"/>
        <v>0</v>
      </c>
      <c r="G475" s="183"/>
      <c r="H475" s="183">
        <f t="shared" si="245"/>
        <v>0</v>
      </c>
      <c r="I475" s="183"/>
      <c r="J475" s="183">
        <f t="shared" si="246"/>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247"/>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248"/>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249"/>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250"/>
        <v>0</v>
      </c>
      <c r="AR475" s="183">
        <f t="shared" si="251"/>
        <v>0</v>
      </c>
    </row>
    <row r="476" spans="2:44" x14ac:dyDescent="0.25">
      <c r="B476" s="181" t="s">
        <v>1194</v>
      </c>
      <c r="C476" s="182" t="s">
        <v>1195</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244"/>
        <v>0</v>
      </c>
      <c r="G476" s="183"/>
      <c r="H476" s="183">
        <f t="shared" si="245"/>
        <v>0</v>
      </c>
      <c r="I476" s="183"/>
      <c r="J476" s="183">
        <f t="shared" si="246"/>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247"/>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248"/>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249"/>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250"/>
        <v>0</v>
      </c>
      <c r="AR476" s="183">
        <f t="shared" si="251"/>
        <v>0</v>
      </c>
    </row>
    <row r="477" spans="2:44" x14ac:dyDescent="0.25">
      <c r="B477" s="181" t="s">
        <v>1196</v>
      </c>
      <c r="C477" s="182" t="s">
        <v>1197</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ref="F477:F508" si="254">D477+E477</f>
        <v>0</v>
      </c>
      <c r="G477" s="183"/>
      <c r="H477" s="183">
        <f t="shared" ref="H477:H508" si="255">F477-G477</f>
        <v>0</v>
      </c>
      <c r="I477" s="183"/>
      <c r="J477" s="183">
        <f t="shared" ref="J477:J508" si="256">F477-I477</f>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ref="AE477:AE508" si="257">AB477+AC477+AD477</f>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ref="AI477:AI508" si="258">AF477+AG477+AH477</f>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ref="AM477:AM508" si="259">AJ477+AK477+AL477</f>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ref="AQ477:AQ508" si="260">AN477+AO477+AP477</f>
        <v>0</v>
      </c>
      <c r="AR477" s="183">
        <f t="shared" ref="AR477:AR508" si="261">AE477+AI477+AM477+AQ477</f>
        <v>0</v>
      </c>
    </row>
    <row r="478" spans="2:44" x14ac:dyDescent="0.25">
      <c r="B478" s="181" t="s">
        <v>1198</v>
      </c>
      <c r="C478" s="182" t="s">
        <v>1199</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si="254"/>
        <v>0</v>
      </c>
      <c r="G478" s="183"/>
      <c r="H478" s="183">
        <f t="shared" si="255"/>
        <v>0</v>
      </c>
      <c r="I478" s="183"/>
      <c r="J478" s="183">
        <f t="shared" si="256"/>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si="257"/>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si="258"/>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si="259"/>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si="260"/>
        <v>0</v>
      </c>
      <c r="AR478" s="183">
        <f t="shared" si="261"/>
        <v>0</v>
      </c>
    </row>
    <row r="479" spans="2:44" x14ac:dyDescent="0.25">
      <c r="B479" s="181" t="s">
        <v>1200</v>
      </c>
      <c r="C479" s="182" t="s">
        <v>1201</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254"/>
        <v>0</v>
      </c>
      <c r="G479" s="183"/>
      <c r="H479" s="183">
        <f t="shared" si="255"/>
        <v>0</v>
      </c>
      <c r="I479" s="183"/>
      <c r="J479" s="183">
        <f t="shared" si="256"/>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257"/>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258"/>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259"/>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260"/>
        <v>0</v>
      </c>
      <c r="AR479" s="183">
        <f t="shared" si="261"/>
        <v>0</v>
      </c>
    </row>
    <row r="480" spans="2:44" x14ac:dyDescent="0.25">
      <c r="B480" s="181" t="s">
        <v>1202</v>
      </c>
      <c r="C480" s="182" t="s">
        <v>1203</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254"/>
        <v>0</v>
      </c>
      <c r="G480" s="183"/>
      <c r="H480" s="183">
        <f t="shared" si="255"/>
        <v>0</v>
      </c>
      <c r="I480" s="183"/>
      <c r="J480" s="183">
        <f t="shared" si="256"/>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257"/>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258"/>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259"/>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260"/>
        <v>0</v>
      </c>
      <c r="AR480" s="183">
        <f t="shared" si="261"/>
        <v>0</v>
      </c>
    </row>
    <row r="481" spans="2:44" x14ac:dyDescent="0.25">
      <c r="B481" s="181" t="s">
        <v>1204</v>
      </c>
      <c r="C481" s="182" t="s">
        <v>1205</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254"/>
        <v>0</v>
      </c>
      <c r="G481" s="183"/>
      <c r="H481" s="183">
        <f t="shared" si="255"/>
        <v>0</v>
      </c>
      <c r="I481" s="183"/>
      <c r="J481" s="183">
        <f t="shared" si="256"/>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257"/>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258"/>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259"/>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260"/>
        <v>0</v>
      </c>
      <c r="AR481" s="183">
        <f t="shared" si="261"/>
        <v>0</v>
      </c>
    </row>
    <row r="482" spans="2:44" x14ac:dyDescent="0.25">
      <c r="B482" s="181" t="s">
        <v>1206</v>
      </c>
      <c r="C482" s="182" t="s">
        <v>1207</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 t="shared" si="254"/>
        <v>0</v>
      </c>
      <c r="G482" s="183"/>
      <c r="H482" s="183">
        <f t="shared" si="255"/>
        <v>0</v>
      </c>
      <c r="I482" s="183"/>
      <c r="J482" s="183">
        <f t="shared" si="256"/>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 t="shared" si="257"/>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 t="shared" si="258"/>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 t="shared" si="259"/>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 t="shared" si="260"/>
        <v>0</v>
      </c>
      <c r="AR482" s="183">
        <f t="shared" si="261"/>
        <v>0</v>
      </c>
    </row>
    <row r="483" spans="2:44" x14ac:dyDescent="0.25">
      <c r="B483" s="181" t="s">
        <v>1208</v>
      </c>
      <c r="C483" s="182" t="s">
        <v>1209</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si="254"/>
        <v>0</v>
      </c>
      <c r="G483" s="183"/>
      <c r="H483" s="183">
        <f t="shared" si="255"/>
        <v>0</v>
      </c>
      <c r="I483" s="183"/>
      <c r="J483" s="183">
        <f t="shared" si="256"/>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si="257"/>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si="258"/>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si="259"/>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si="260"/>
        <v>0</v>
      </c>
      <c r="AR483" s="183">
        <f t="shared" si="261"/>
        <v>0</v>
      </c>
    </row>
    <row r="484" spans="2:44" x14ac:dyDescent="0.25">
      <c r="B484" s="181" t="s">
        <v>1210</v>
      </c>
      <c r="C484" s="182" t="s">
        <v>1211</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si="254"/>
        <v>0</v>
      </c>
      <c r="G484" s="183"/>
      <c r="H484" s="183">
        <f t="shared" si="255"/>
        <v>0</v>
      </c>
      <c r="I484" s="183"/>
      <c r="J484" s="183">
        <f t="shared" si="256"/>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si="257"/>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si="258"/>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si="259"/>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si="260"/>
        <v>0</v>
      </c>
      <c r="AR484" s="183">
        <f t="shared" si="261"/>
        <v>0</v>
      </c>
    </row>
    <row r="485" spans="2:44" x14ac:dyDescent="0.25">
      <c r="B485" s="190" t="s">
        <v>358</v>
      </c>
      <c r="C485" s="191" t="s">
        <v>226</v>
      </c>
      <c r="D485" s="192">
        <f>SUM(D486:D488)</f>
        <v>0</v>
      </c>
      <c r="E485" s="192">
        <f>SUM(E486:E488)</f>
        <v>0</v>
      </c>
      <c r="F485" s="192">
        <f t="shared" si="254"/>
        <v>0</v>
      </c>
      <c r="G485" s="192">
        <f>SUM(G486:G488)</f>
        <v>0</v>
      </c>
      <c r="H485" s="192">
        <f t="shared" si="255"/>
        <v>0</v>
      </c>
      <c r="I485" s="192">
        <f>SUM(I486:I488)</f>
        <v>0</v>
      </c>
      <c r="J485" s="192">
        <f t="shared" si="256"/>
        <v>0</v>
      </c>
      <c r="K485" s="192">
        <f t="shared" ref="K485:AD485" si="262">SUM(K486:K488)</f>
        <v>0</v>
      </c>
      <c r="L485" s="192">
        <f t="shared" si="262"/>
        <v>0</v>
      </c>
      <c r="M485" s="192">
        <f t="shared" si="262"/>
        <v>0</v>
      </c>
      <c r="N485" s="192">
        <f t="shared" si="262"/>
        <v>0</v>
      </c>
      <c r="O485" s="192">
        <f t="shared" si="262"/>
        <v>0</v>
      </c>
      <c r="P485" s="192">
        <f>SUM(P486:P488)</f>
        <v>0</v>
      </c>
      <c r="Q485" s="192">
        <f>SUM(Q486:Q488)</f>
        <v>0</v>
      </c>
      <c r="R485" s="192">
        <f t="shared" si="262"/>
        <v>0</v>
      </c>
      <c r="S485" s="192">
        <f t="shared" si="262"/>
        <v>0</v>
      </c>
      <c r="T485" s="192">
        <f>SUM(T486:T488)</f>
        <v>0</v>
      </c>
      <c r="U485" s="192">
        <f t="shared" si="262"/>
        <v>0</v>
      </c>
      <c r="V485" s="192">
        <f t="shared" si="262"/>
        <v>0</v>
      </c>
      <c r="W485" s="192">
        <f>SUM(W486:W488)</f>
        <v>0</v>
      </c>
      <c r="X485" s="192">
        <f t="shared" si="262"/>
        <v>0</v>
      </c>
      <c r="Y485" s="192">
        <f>SUM(Y486:Y488)</f>
        <v>0</v>
      </c>
      <c r="Z485" s="192">
        <f>SUM(Z486:Z488)</f>
        <v>0</v>
      </c>
      <c r="AA485" s="192">
        <f t="shared" si="262"/>
        <v>0</v>
      </c>
      <c r="AB485" s="192">
        <f t="shared" si="262"/>
        <v>0</v>
      </c>
      <c r="AC485" s="192">
        <f t="shared" si="262"/>
        <v>0</v>
      </c>
      <c r="AD485" s="192">
        <f t="shared" si="262"/>
        <v>0</v>
      </c>
      <c r="AE485" s="192">
        <f t="shared" si="257"/>
        <v>0</v>
      </c>
      <c r="AF485" s="192">
        <f>SUM(AF486:AF488)</f>
        <v>0</v>
      </c>
      <c r="AG485" s="192">
        <f>SUM(AG486:AG488)</f>
        <v>0</v>
      </c>
      <c r="AH485" s="192">
        <f>SUM(AH486:AH488)</f>
        <v>0</v>
      </c>
      <c r="AI485" s="192">
        <f t="shared" si="258"/>
        <v>0</v>
      </c>
      <c r="AJ485" s="192">
        <f>SUM(AJ486:AJ488)</f>
        <v>0</v>
      </c>
      <c r="AK485" s="192">
        <f>SUM(AK486:AK488)</f>
        <v>0</v>
      </c>
      <c r="AL485" s="192">
        <f>SUM(AL486:AL488)</f>
        <v>0</v>
      </c>
      <c r="AM485" s="192">
        <f t="shared" si="259"/>
        <v>0</v>
      </c>
      <c r="AN485" s="192">
        <f>SUM(AN486:AN488)</f>
        <v>0</v>
      </c>
      <c r="AO485" s="192">
        <f>SUM(AO486:AO488)</f>
        <v>0</v>
      </c>
      <c r="AP485" s="192">
        <f>SUM(AP486:AP488)</f>
        <v>0</v>
      </c>
      <c r="AQ485" s="192">
        <f t="shared" si="260"/>
        <v>0</v>
      </c>
      <c r="AR485" s="192">
        <f t="shared" si="261"/>
        <v>0</v>
      </c>
    </row>
    <row r="486" spans="2:44" x14ac:dyDescent="0.25">
      <c r="B486" s="181" t="s">
        <v>359</v>
      </c>
      <c r="C486" s="182" t="s">
        <v>227</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254"/>
        <v>0</v>
      </c>
      <c r="G486" s="183"/>
      <c r="H486" s="183">
        <f t="shared" si="255"/>
        <v>0</v>
      </c>
      <c r="I486" s="183"/>
      <c r="J486" s="183">
        <f t="shared" si="256"/>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257"/>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258"/>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259"/>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260"/>
        <v>0</v>
      </c>
      <c r="AR486" s="183">
        <f t="shared" si="261"/>
        <v>0</v>
      </c>
    </row>
    <row r="487" spans="2:44" x14ac:dyDescent="0.25">
      <c r="B487" s="181" t="s">
        <v>1212</v>
      </c>
      <c r="C487" s="182" t="s">
        <v>1213</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si="254"/>
        <v>0</v>
      </c>
      <c r="G487" s="183"/>
      <c r="H487" s="183">
        <f t="shared" si="255"/>
        <v>0</v>
      </c>
      <c r="I487" s="183"/>
      <c r="J487" s="183">
        <f t="shared" si="256"/>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si="257"/>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si="258"/>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si="259"/>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si="260"/>
        <v>0</v>
      </c>
      <c r="AR487" s="183">
        <f t="shared" si="261"/>
        <v>0</v>
      </c>
    </row>
    <row r="488" spans="2:44" x14ac:dyDescent="0.25">
      <c r="B488" s="181" t="s">
        <v>1214</v>
      </c>
      <c r="C488" s="182" t="s">
        <v>1215</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254"/>
        <v>0</v>
      </c>
      <c r="G488" s="183"/>
      <c r="H488" s="183">
        <f t="shared" si="255"/>
        <v>0</v>
      </c>
      <c r="I488" s="183"/>
      <c r="J488" s="183">
        <f t="shared" si="256"/>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257"/>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258"/>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259"/>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260"/>
        <v>0</v>
      </c>
      <c r="AR488" s="183">
        <f t="shared" si="261"/>
        <v>0</v>
      </c>
    </row>
    <row r="489" spans="2:44" x14ac:dyDescent="0.25">
      <c r="B489" s="190" t="s">
        <v>360</v>
      </c>
      <c r="C489" s="191" t="s">
        <v>228</v>
      </c>
      <c r="D489" s="192">
        <f>SUM(D490:D498)</f>
        <v>0</v>
      </c>
      <c r="E489" s="192">
        <f>SUM(E490:E498)</f>
        <v>0</v>
      </c>
      <c r="F489" s="192">
        <f t="shared" si="254"/>
        <v>0</v>
      </c>
      <c r="G489" s="192">
        <f>SUM(G490:G498)</f>
        <v>0</v>
      </c>
      <c r="H489" s="192">
        <f t="shared" si="255"/>
        <v>0</v>
      </c>
      <c r="I489" s="192">
        <f>SUM(I490:I498)</f>
        <v>0</v>
      </c>
      <c r="J489" s="192">
        <f t="shared" si="256"/>
        <v>0</v>
      </c>
      <c r="K489" s="192">
        <f t="shared" ref="K489:AD489" si="263">SUM(K490:K498)</f>
        <v>0</v>
      </c>
      <c r="L489" s="192">
        <f t="shared" si="263"/>
        <v>0</v>
      </c>
      <c r="M489" s="192">
        <f t="shared" si="263"/>
        <v>0</v>
      </c>
      <c r="N489" s="192">
        <f t="shared" si="263"/>
        <v>0</v>
      </c>
      <c r="O489" s="192">
        <f t="shared" si="263"/>
        <v>0</v>
      </c>
      <c r="P489" s="192">
        <f>SUM(P490:P498)</f>
        <v>0</v>
      </c>
      <c r="Q489" s="192">
        <f>SUM(Q490:Q498)</f>
        <v>0</v>
      </c>
      <c r="R489" s="192">
        <f t="shared" si="263"/>
        <v>0</v>
      </c>
      <c r="S489" s="192">
        <f t="shared" si="263"/>
        <v>0</v>
      </c>
      <c r="T489" s="192">
        <f>SUM(T490:T498)</f>
        <v>0</v>
      </c>
      <c r="U489" s="192">
        <f t="shared" si="263"/>
        <v>0</v>
      </c>
      <c r="V489" s="192">
        <f t="shared" si="263"/>
        <v>0</v>
      </c>
      <c r="W489" s="192">
        <f>SUM(W490:W498)</f>
        <v>0</v>
      </c>
      <c r="X489" s="192">
        <f t="shared" si="263"/>
        <v>0</v>
      </c>
      <c r="Y489" s="192">
        <f>SUM(Y490:Y498)</f>
        <v>0</v>
      </c>
      <c r="Z489" s="192">
        <f>SUM(Z490:Z498)</f>
        <v>0</v>
      </c>
      <c r="AA489" s="192">
        <f t="shared" si="263"/>
        <v>0</v>
      </c>
      <c r="AB489" s="192">
        <f t="shared" si="263"/>
        <v>0</v>
      </c>
      <c r="AC489" s="192">
        <f t="shared" si="263"/>
        <v>0</v>
      </c>
      <c r="AD489" s="192">
        <f t="shared" si="263"/>
        <v>0</v>
      </c>
      <c r="AE489" s="192">
        <f t="shared" si="257"/>
        <v>0</v>
      </c>
      <c r="AF489" s="192">
        <f>SUM(AF490:AF498)</f>
        <v>0</v>
      </c>
      <c r="AG489" s="192">
        <f>SUM(AG490:AG498)</f>
        <v>0</v>
      </c>
      <c r="AH489" s="192">
        <f>SUM(AH490:AH498)</f>
        <v>0</v>
      </c>
      <c r="AI489" s="192">
        <f t="shared" si="258"/>
        <v>0</v>
      </c>
      <c r="AJ489" s="192">
        <f>SUM(AJ490:AJ498)</f>
        <v>0</v>
      </c>
      <c r="AK489" s="192">
        <f>SUM(AK490:AK498)</f>
        <v>0</v>
      </c>
      <c r="AL489" s="192">
        <f>SUM(AL490:AL498)</f>
        <v>0</v>
      </c>
      <c r="AM489" s="192">
        <f t="shared" si="259"/>
        <v>0</v>
      </c>
      <c r="AN489" s="192">
        <f>SUM(AN490:AN498)</f>
        <v>0</v>
      </c>
      <c r="AO489" s="192">
        <f>SUM(AO490:AO498)</f>
        <v>0</v>
      </c>
      <c r="AP489" s="192">
        <f>SUM(AP490:AP498)</f>
        <v>0</v>
      </c>
      <c r="AQ489" s="192">
        <f t="shared" si="260"/>
        <v>0</v>
      </c>
      <c r="AR489" s="192">
        <f t="shared" si="261"/>
        <v>0</v>
      </c>
    </row>
    <row r="490" spans="2:44" x14ac:dyDescent="0.25">
      <c r="B490" s="181" t="s">
        <v>361</v>
      </c>
      <c r="C490" s="182" t="s">
        <v>223</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si="254"/>
        <v>0</v>
      </c>
      <c r="G490" s="183"/>
      <c r="H490" s="183">
        <f t="shared" si="255"/>
        <v>0</v>
      </c>
      <c r="I490" s="183"/>
      <c r="J490" s="183">
        <f t="shared" si="256"/>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si="257"/>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si="258"/>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si="259"/>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si="260"/>
        <v>0</v>
      </c>
      <c r="AR490" s="183">
        <f t="shared" si="261"/>
        <v>0</v>
      </c>
    </row>
    <row r="491" spans="2:44" x14ac:dyDescent="0.25">
      <c r="B491" s="181" t="s">
        <v>1216</v>
      </c>
      <c r="C491" s="182" t="s">
        <v>1171</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si="254"/>
        <v>0</v>
      </c>
      <c r="G491" s="183"/>
      <c r="H491" s="183">
        <f t="shared" si="255"/>
        <v>0</v>
      </c>
      <c r="I491" s="183"/>
      <c r="J491" s="183">
        <f t="shared" si="256"/>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si="257"/>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si="258"/>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si="259"/>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si="260"/>
        <v>0</v>
      </c>
      <c r="AR491" s="183">
        <f t="shared" si="261"/>
        <v>0</v>
      </c>
    </row>
    <row r="492" spans="2:44" x14ac:dyDescent="0.25">
      <c r="B492" s="181" t="s">
        <v>1217</v>
      </c>
      <c r="C492" s="182" t="s">
        <v>1173</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254"/>
        <v>0</v>
      </c>
      <c r="G492" s="183"/>
      <c r="H492" s="183">
        <f t="shared" si="255"/>
        <v>0</v>
      </c>
      <c r="I492" s="183"/>
      <c r="J492" s="183">
        <f t="shared" si="256"/>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257"/>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258"/>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259"/>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260"/>
        <v>0</v>
      </c>
      <c r="AR492" s="183">
        <f t="shared" si="261"/>
        <v>0</v>
      </c>
    </row>
    <row r="493" spans="2:44" x14ac:dyDescent="0.25">
      <c r="B493" s="181" t="s">
        <v>1218</v>
      </c>
      <c r="C493" s="182" t="s">
        <v>1177</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254"/>
        <v>0</v>
      </c>
      <c r="G493" s="183"/>
      <c r="H493" s="183">
        <f t="shared" si="255"/>
        <v>0</v>
      </c>
      <c r="I493" s="183"/>
      <c r="J493" s="183">
        <f t="shared" si="256"/>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257"/>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258"/>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259"/>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260"/>
        <v>0</v>
      </c>
      <c r="AR493" s="183">
        <f t="shared" si="261"/>
        <v>0</v>
      </c>
    </row>
    <row r="494" spans="2:44" x14ac:dyDescent="0.25">
      <c r="B494" s="181" t="s">
        <v>1219</v>
      </c>
      <c r="C494" s="182" t="s">
        <v>1220</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254"/>
        <v>0</v>
      </c>
      <c r="G494" s="183"/>
      <c r="H494" s="183">
        <f t="shared" si="255"/>
        <v>0</v>
      </c>
      <c r="I494" s="183"/>
      <c r="J494" s="183">
        <f t="shared" si="256"/>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257"/>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258"/>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259"/>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260"/>
        <v>0</v>
      </c>
      <c r="AR494" s="183">
        <f t="shared" si="261"/>
        <v>0</v>
      </c>
    </row>
    <row r="495" spans="2:44" x14ac:dyDescent="0.25">
      <c r="B495" s="181" t="s">
        <v>1221</v>
      </c>
      <c r="C495" s="182" t="s">
        <v>1181</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254"/>
        <v>0</v>
      </c>
      <c r="G495" s="183"/>
      <c r="H495" s="183">
        <f t="shared" si="255"/>
        <v>0</v>
      </c>
      <c r="I495" s="183"/>
      <c r="J495" s="183">
        <f t="shared" si="256"/>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257"/>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258"/>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259"/>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260"/>
        <v>0</v>
      </c>
      <c r="AR495" s="183">
        <f t="shared" si="261"/>
        <v>0</v>
      </c>
    </row>
    <row r="496" spans="2:44" x14ac:dyDescent="0.25">
      <c r="B496" s="181" t="s">
        <v>1222</v>
      </c>
      <c r="C496" s="182" t="s">
        <v>1223</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si="254"/>
        <v>0</v>
      </c>
      <c r="G496" s="183"/>
      <c r="H496" s="183">
        <f t="shared" si="255"/>
        <v>0</v>
      </c>
      <c r="I496" s="183"/>
      <c r="J496" s="183">
        <f t="shared" si="256"/>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si="257"/>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si="258"/>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si="259"/>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si="260"/>
        <v>0</v>
      </c>
      <c r="AR496" s="183">
        <f t="shared" si="261"/>
        <v>0</v>
      </c>
    </row>
    <row r="497" spans="2:44" x14ac:dyDescent="0.25">
      <c r="B497" s="181" t="s">
        <v>1224</v>
      </c>
      <c r="C497" s="182" t="s">
        <v>1183</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si="254"/>
        <v>0</v>
      </c>
      <c r="G497" s="183"/>
      <c r="H497" s="183">
        <f t="shared" si="255"/>
        <v>0</v>
      </c>
      <c r="I497" s="183"/>
      <c r="J497" s="183">
        <f t="shared" si="256"/>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si="257"/>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si="258"/>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si="259"/>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si="260"/>
        <v>0</v>
      </c>
      <c r="AR497" s="183">
        <f t="shared" si="261"/>
        <v>0</v>
      </c>
    </row>
    <row r="498" spans="2:44" x14ac:dyDescent="0.25">
      <c r="B498" s="181" t="s">
        <v>1225</v>
      </c>
      <c r="C498" s="182" t="s">
        <v>1226</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254"/>
        <v>0</v>
      </c>
      <c r="G498" s="183"/>
      <c r="H498" s="183">
        <f t="shared" si="255"/>
        <v>0</v>
      </c>
      <c r="I498" s="183"/>
      <c r="J498" s="183">
        <f t="shared" si="256"/>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257"/>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258"/>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259"/>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260"/>
        <v>0</v>
      </c>
      <c r="AR498" s="183">
        <f t="shared" si="261"/>
        <v>0</v>
      </c>
    </row>
    <row r="499" spans="2:44" x14ac:dyDescent="0.25">
      <c r="B499" s="178" t="s">
        <v>365</v>
      </c>
      <c r="C499" s="179" t="s">
        <v>231</v>
      </c>
      <c r="D499" s="180">
        <f>D500+D509</f>
        <v>0</v>
      </c>
      <c r="E499" s="180">
        <f>E500+E509</f>
        <v>0</v>
      </c>
      <c r="F499" s="180">
        <f t="shared" si="254"/>
        <v>0</v>
      </c>
      <c r="G499" s="180">
        <f>G500+G509</f>
        <v>0</v>
      </c>
      <c r="H499" s="180">
        <f t="shared" si="255"/>
        <v>0</v>
      </c>
      <c r="I499" s="180">
        <f>I500+I509</f>
        <v>0</v>
      </c>
      <c r="J499" s="180">
        <f t="shared" si="256"/>
        <v>0</v>
      </c>
      <c r="K499" s="180">
        <f t="shared" ref="K499:AP499" si="264">K500+K509</f>
        <v>0</v>
      </c>
      <c r="L499" s="180">
        <f t="shared" si="264"/>
        <v>0</v>
      </c>
      <c r="M499" s="180">
        <f t="shared" si="264"/>
        <v>0</v>
      </c>
      <c r="N499" s="180">
        <f t="shared" si="264"/>
        <v>0</v>
      </c>
      <c r="O499" s="180">
        <f t="shared" si="264"/>
        <v>0</v>
      </c>
      <c r="P499" s="180">
        <f>P500+P509</f>
        <v>0</v>
      </c>
      <c r="Q499" s="180">
        <f>Q500+Q509</f>
        <v>0</v>
      </c>
      <c r="R499" s="180">
        <f t="shared" si="264"/>
        <v>0</v>
      </c>
      <c r="S499" s="180">
        <f t="shared" si="264"/>
        <v>0</v>
      </c>
      <c r="T499" s="180">
        <f>T500+T509</f>
        <v>0</v>
      </c>
      <c r="U499" s="180">
        <f t="shared" si="264"/>
        <v>0</v>
      </c>
      <c r="V499" s="180">
        <f t="shared" si="264"/>
        <v>0</v>
      </c>
      <c r="W499" s="180">
        <f>W500+W509</f>
        <v>0</v>
      </c>
      <c r="X499" s="180">
        <f t="shared" si="264"/>
        <v>0</v>
      </c>
      <c r="Y499" s="180">
        <f>Y500+Y509</f>
        <v>0</v>
      </c>
      <c r="Z499" s="180">
        <f>Z500+Z509</f>
        <v>0</v>
      </c>
      <c r="AA499" s="180">
        <f t="shared" si="264"/>
        <v>0</v>
      </c>
      <c r="AB499" s="180">
        <f t="shared" si="264"/>
        <v>0</v>
      </c>
      <c r="AC499" s="180">
        <f t="shared" si="264"/>
        <v>0</v>
      </c>
      <c r="AD499" s="180">
        <f t="shared" si="264"/>
        <v>0</v>
      </c>
      <c r="AE499" s="180">
        <f t="shared" si="257"/>
        <v>0</v>
      </c>
      <c r="AF499" s="180">
        <f t="shared" si="264"/>
        <v>0</v>
      </c>
      <c r="AG499" s="180">
        <f t="shared" si="264"/>
        <v>0</v>
      </c>
      <c r="AH499" s="180">
        <f t="shared" si="264"/>
        <v>0</v>
      </c>
      <c r="AI499" s="180">
        <f t="shared" si="258"/>
        <v>0</v>
      </c>
      <c r="AJ499" s="180">
        <f t="shared" si="264"/>
        <v>0</v>
      </c>
      <c r="AK499" s="180">
        <f t="shared" si="264"/>
        <v>0</v>
      </c>
      <c r="AL499" s="180">
        <f t="shared" si="264"/>
        <v>0</v>
      </c>
      <c r="AM499" s="180">
        <f t="shared" si="259"/>
        <v>0</v>
      </c>
      <c r="AN499" s="180">
        <f t="shared" si="264"/>
        <v>0</v>
      </c>
      <c r="AO499" s="180">
        <f t="shared" si="264"/>
        <v>0</v>
      </c>
      <c r="AP499" s="180">
        <f t="shared" si="264"/>
        <v>0</v>
      </c>
      <c r="AQ499" s="180">
        <f t="shared" si="260"/>
        <v>0</v>
      </c>
      <c r="AR499" s="180">
        <f t="shared" si="261"/>
        <v>0</v>
      </c>
    </row>
    <row r="500" spans="2:44" x14ac:dyDescent="0.25">
      <c r="B500" s="190" t="s">
        <v>366</v>
      </c>
      <c r="C500" s="191" t="s">
        <v>232</v>
      </c>
      <c r="D500" s="192">
        <f>SUM(D501:D508)</f>
        <v>0</v>
      </c>
      <c r="E500" s="192">
        <f>SUM(E501:E508)</f>
        <v>0</v>
      </c>
      <c r="F500" s="192">
        <f t="shared" si="254"/>
        <v>0</v>
      </c>
      <c r="G500" s="192">
        <f>SUM(G501:G508)</f>
        <v>0</v>
      </c>
      <c r="H500" s="192">
        <f t="shared" si="255"/>
        <v>0</v>
      </c>
      <c r="I500" s="192">
        <f>SUM(I501:I508)</f>
        <v>0</v>
      </c>
      <c r="J500" s="192">
        <f t="shared" si="256"/>
        <v>0</v>
      </c>
      <c r="K500" s="192">
        <f t="shared" ref="K500:AP500" si="265">SUM(K501:K508)</f>
        <v>0</v>
      </c>
      <c r="L500" s="192">
        <f t="shared" si="265"/>
        <v>0</v>
      </c>
      <c r="M500" s="192">
        <f t="shared" si="265"/>
        <v>0</v>
      </c>
      <c r="N500" s="192">
        <f t="shared" si="265"/>
        <v>0</v>
      </c>
      <c r="O500" s="192">
        <f t="shared" si="265"/>
        <v>0</v>
      </c>
      <c r="P500" s="192">
        <f>SUM(P501:P508)</f>
        <v>0</v>
      </c>
      <c r="Q500" s="192">
        <f>SUM(Q501:Q508)</f>
        <v>0</v>
      </c>
      <c r="R500" s="192">
        <f t="shared" si="265"/>
        <v>0</v>
      </c>
      <c r="S500" s="192">
        <f t="shared" si="265"/>
        <v>0</v>
      </c>
      <c r="T500" s="192">
        <f>SUM(T501:T508)</f>
        <v>0</v>
      </c>
      <c r="U500" s="192">
        <f t="shared" si="265"/>
        <v>0</v>
      </c>
      <c r="V500" s="192">
        <f t="shared" si="265"/>
        <v>0</v>
      </c>
      <c r="W500" s="192">
        <f>SUM(W501:W508)</f>
        <v>0</v>
      </c>
      <c r="X500" s="192">
        <f t="shared" si="265"/>
        <v>0</v>
      </c>
      <c r="Y500" s="192">
        <f>SUM(Y501:Y508)</f>
        <v>0</v>
      </c>
      <c r="Z500" s="192">
        <f>SUM(Z501:Z508)</f>
        <v>0</v>
      </c>
      <c r="AA500" s="192">
        <f t="shared" si="265"/>
        <v>0</v>
      </c>
      <c r="AB500" s="192">
        <f t="shared" si="265"/>
        <v>0</v>
      </c>
      <c r="AC500" s="192">
        <f t="shared" si="265"/>
        <v>0</v>
      </c>
      <c r="AD500" s="192">
        <f t="shared" si="265"/>
        <v>0</v>
      </c>
      <c r="AE500" s="192">
        <f t="shared" si="257"/>
        <v>0</v>
      </c>
      <c r="AF500" s="192">
        <f t="shared" si="265"/>
        <v>0</v>
      </c>
      <c r="AG500" s="192">
        <f t="shared" si="265"/>
        <v>0</v>
      </c>
      <c r="AH500" s="192">
        <f t="shared" si="265"/>
        <v>0</v>
      </c>
      <c r="AI500" s="192">
        <f t="shared" si="258"/>
        <v>0</v>
      </c>
      <c r="AJ500" s="192">
        <f t="shared" si="265"/>
        <v>0</v>
      </c>
      <c r="AK500" s="192">
        <f t="shared" si="265"/>
        <v>0</v>
      </c>
      <c r="AL500" s="192">
        <f t="shared" si="265"/>
        <v>0</v>
      </c>
      <c r="AM500" s="192">
        <f t="shared" si="259"/>
        <v>0</v>
      </c>
      <c r="AN500" s="192">
        <f t="shared" si="265"/>
        <v>0</v>
      </c>
      <c r="AO500" s="192">
        <f t="shared" si="265"/>
        <v>0</v>
      </c>
      <c r="AP500" s="192">
        <f t="shared" si="265"/>
        <v>0</v>
      </c>
      <c r="AQ500" s="192">
        <f t="shared" si="260"/>
        <v>0</v>
      </c>
      <c r="AR500" s="192">
        <f t="shared" si="261"/>
        <v>0</v>
      </c>
    </row>
    <row r="501" spans="2:44" x14ac:dyDescent="0.25">
      <c r="B501" s="181" t="s">
        <v>367</v>
      </c>
      <c r="C501" s="182" t="s">
        <v>233</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254"/>
        <v>0</v>
      </c>
      <c r="G501" s="183"/>
      <c r="H501" s="183">
        <f t="shared" si="255"/>
        <v>0</v>
      </c>
      <c r="I501" s="183"/>
      <c r="J501" s="183">
        <f t="shared" si="256"/>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257"/>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258"/>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259"/>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260"/>
        <v>0</v>
      </c>
      <c r="AR501" s="183">
        <f t="shared" si="261"/>
        <v>0</v>
      </c>
    </row>
    <row r="502" spans="2:44" x14ac:dyDescent="0.25">
      <c r="B502" s="181" t="s">
        <v>1227</v>
      </c>
      <c r="C502" s="182" t="s">
        <v>1228</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254"/>
        <v>0</v>
      </c>
      <c r="G502" s="183"/>
      <c r="H502" s="183">
        <f t="shared" si="255"/>
        <v>0</v>
      </c>
      <c r="I502" s="183"/>
      <c r="J502" s="183">
        <f t="shared" si="256"/>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257"/>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258"/>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259"/>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260"/>
        <v>0</v>
      </c>
      <c r="AR502" s="183">
        <f t="shared" si="261"/>
        <v>0</v>
      </c>
    </row>
    <row r="503" spans="2:44" x14ac:dyDescent="0.25">
      <c r="B503" s="181" t="s">
        <v>1229</v>
      </c>
      <c r="C503" s="182" t="s">
        <v>1230</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si="254"/>
        <v>0</v>
      </c>
      <c r="G503" s="183"/>
      <c r="H503" s="183">
        <f t="shared" si="255"/>
        <v>0</v>
      </c>
      <c r="I503" s="183"/>
      <c r="J503" s="183">
        <f t="shared" si="256"/>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si="257"/>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si="258"/>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si="259"/>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si="260"/>
        <v>0</v>
      </c>
      <c r="AR503" s="183">
        <f t="shared" si="261"/>
        <v>0</v>
      </c>
    </row>
    <row r="504" spans="2:44" x14ac:dyDescent="0.25">
      <c r="B504" s="181" t="s">
        <v>368</v>
      </c>
      <c r="C504" s="182" t="s">
        <v>234</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254"/>
        <v>0</v>
      </c>
      <c r="G504" s="183"/>
      <c r="H504" s="183">
        <f t="shared" si="255"/>
        <v>0</v>
      </c>
      <c r="I504" s="183"/>
      <c r="J504" s="183">
        <f t="shared" si="256"/>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257"/>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258"/>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259"/>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260"/>
        <v>0</v>
      </c>
      <c r="AR504" s="183">
        <f t="shared" si="261"/>
        <v>0</v>
      </c>
    </row>
    <row r="505" spans="2:44" x14ac:dyDescent="0.25">
      <c r="B505" s="181" t="s">
        <v>1231</v>
      </c>
      <c r="C505" s="182" t="s">
        <v>1232</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si="254"/>
        <v>0</v>
      </c>
      <c r="G505" s="183"/>
      <c r="H505" s="183">
        <f t="shared" si="255"/>
        <v>0</v>
      </c>
      <c r="I505" s="183"/>
      <c r="J505" s="183">
        <f t="shared" si="256"/>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si="257"/>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si="258"/>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si="259"/>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si="260"/>
        <v>0</v>
      </c>
      <c r="AR505" s="183">
        <f t="shared" si="261"/>
        <v>0</v>
      </c>
    </row>
    <row r="506" spans="2:44" x14ac:dyDescent="0.25">
      <c r="B506" s="181" t="s">
        <v>1233</v>
      </c>
      <c r="C506" s="182" t="s">
        <v>1234</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254"/>
        <v>0</v>
      </c>
      <c r="G506" s="183"/>
      <c r="H506" s="183">
        <f t="shared" si="255"/>
        <v>0</v>
      </c>
      <c r="I506" s="183"/>
      <c r="J506" s="183">
        <f t="shared" si="256"/>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257"/>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258"/>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259"/>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260"/>
        <v>0</v>
      </c>
      <c r="AR506" s="183">
        <f t="shared" si="261"/>
        <v>0</v>
      </c>
    </row>
    <row r="507" spans="2:44" x14ac:dyDescent="0.25">
      <c r="B507" s="181" t="s">
        <v>1235</v>
      </c>
      <c r="C507" s="182" t="s">
        <v>1236</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si="254"/>
        <v>0</v>
      </c>
      <c r="G507" s="183"/>
      <c r="H507" s="183">
        <f t="shared" si="255"/>
        <v>0</v>
      </c>
      <c r="I507" s="183"/>
      <c r="J507" s="183">
        <f t="shared" si="256"/>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si="257"/>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si="258"/>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si="259"/>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si="260"/>
        <v>0</v>
      </c>
      <c r="AR507" s="183">
        <f t="shared" si="261"/>
        <v>0</v>
      </c>
    </row>
    <row r="508" spans="2:44" x14ac:dyDescent="0.25">
      <c r="B508" s="181" t="s">
        <v>1237</v>
      </c>
      <c r="C508" s="182" t="s">
        <v>1238</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254"/>
        <v>0</v>
      </c>
      <c r="G508" s="183"/>
      <c r="H508" s="183">
        <f t="shared" si="255"/>
        <v>0</v>
      </c>
      <c r="I508" s="183"/>
      <c r="J508" s="183">
        <f t="shared" si="256"/>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257"/>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258"/>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259"/>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260"/>
        <v>0</v>
      </c>
      <c r="AR508" s="183">
        <f t="shared" si="261"/>
        <v>0</v>
      </c>
    </row>
    <row r="509" spans="2:44" x14ac:dyDescent="0.25">
      <c r="B509" s="190" t="s">
        <v>369</v>
      </c>
      <c r="C509" s="191" t="s">
        <v>235</v>
      </c>
      <c r="D509" s="192">
        <f>SUM(D510:D525)</f>
        <v>0</v>
      </c>
      <c r="E509" s="192">
        <f>SUM(E510:E525)</f>
        <v>0</v>
      </c>
      <c r="F509" s="192">
        <f t="shared" ref="F509:F510" si="266">D509+E509</f>
        <v>0</v>
      </c>
      <c r="G509" s="192">
        <f>SUM(G510:G525)</f>
        <v>0</v>
      </c>
      <c r="H509" s="192">
        <f t="shared" ref="H509:H510" si="267">F509-G509</f>
        <v>0</v>
      </c>
      <c r="I509" s="192">
        <f>SUM(I510:I525)</f>
        <v>0</v>
      </c>
      <c r="J509" s="192">
        <f t="shared" ref="J509:J510" si="268">F509-I509</f>
        <v>0</v>
      </c>
      <c r="K509" s="192">
        <f t="shared" ref="K509:AD509" si="269">SUM(K510:K525)</f>
        <v>0</v>
      </c>
      <c r="L509" s="192">
        <f t="shared" si="269"/>
        <v>0</v>
      </c>
      <c r="M509" s="192">
        <f t="shared" si="269"/>
        <v>0</v>
      </c>
      <c r="N509" s="192">
        <f t="shared" si="269"/>
        <v>0</v>
      </c>
      <c r="O509" s="192">
        <f t="shared" si="269"/>
        <v>0</v>
      </c>
      <c r="P509" s="192">
        <f>SUM(P510:P525)</f>
        <v>0</v>
      </c>
      <c r="Q509" s="192">
        <f>SUM(Q510:Q525)</f>
        <v>0</v>
      </c>
      <c r="R509" s="192">
        <f t="shared" si="269"/>
        <v>0</v>
      </c>
      <c r="S509" s="192">
        <f t="shared" si="269"/>
        <v>0</v>
      </c>
      <c r="T509" s="192">
        <f>SUM(T510:T525)</f>
        <v>0</v>
      </c>
      <c r="U509" s="192">
        <f t="shared" si="269"/>
        <v>0</v>
      </c>
      <c r="V509" s="192">
        <f t="shared" si="269"/>
        <v>0</v>
      </c>
      <c r="W509" s="192">
        <f>SUM(W510:W525)</f>
        <v>0</v>
      </c>
      <c r="X509" s="192">
        <f t="shared" si="269"/>
        <v>0</v>
      </c>
      <c r="Y509" s="192">
        <f>SUM(Y510:Y525)</f>
        <v>0</v>
      </c>
      <c r="Z509" s="192">
        <f>SUM(Z510:Z525)</f>
        <v>0</v>
      </c>
      <c r="AA509" s="192">
        <f t="shared" si="269"/>
        <v>0</v>
      </c>
      <c r="AB509" s="192">
        <f t="shared" si="269"/>
        <v>0</v>
      </c>
      <c r="AC509" s="192">
        <f t="shared" si="269"/>
        <v>0</v>
      </c>
      <c r="AD509" s="192">
        <f t="shared" si="269"/>
        <v>0</v>
      </c>
      <c r="AE509" s="192">
        <f t="shared" ref="AE509:AE510" si="270">AB509+AC509+AD509</f>
        <v>0</v>
      </c>
      <c r="AF509" s="192">
        <f>SUM(AF510:AF525)</f>
        <v>0</v>
      </c>
      <c r="AG509" s="192">
        <f>SUM(AG510:AG525)</f>
        <v>0</v>
      </c>
      <c r="AH509" s="192">
        <f>SUM(AH510:AH525)</f>
        <v>0</v>
      </c>
      <c r="AI509" s="192">
        <f t="shared" ref="AI509:AI510" si="271">AF509+AG509+AH509</f>
        <v>0</v>
      </c>
      <c r="AJ509" s="192">
        <f>SUM(AJ510:AJ525)</f>
        <v>0</v>
      </c>
      <c r="AK509" s="192">
        <f>SUM(AK510:AK525)</f>
        <v>0</v>
      </c>
      <c r="AL509" s="192">
        <f>SUM(AL510:AL525)</f>
        <v>0</v>
      </c>
      <c r="AM509" s="192">
        <f t="shared" ref="AM509:AM510" si="272">AJ509+AK509+AL509</f>
        <v>0</v>
      </c>
      <c r="AN509" s="192">
        <f>SUM(AN510:AN525)</f>
        <v>0</v>
      </c>
      <c r="AO509" s="192">
        <f>SUM(AO510:AO525)</f>
        <v>0</v>
      </c>
      <c r="AP509" s="192">
        <f>SUM(AP510:AP525)</f>
        <v>0</v>
      </c>
      <c r="AQ509" s="192">
        <f t="shared" ref="AQ509:AQ510" si="273">AN509+AO509+AP509</f>
        <v>0</v>
      </c>
      <c r="AR509" s="192">
        <f t="shared" ref="AR509:AR510" si="274">AE509+AI509+AM509+AQ509</f>
        <v>0</v>
      </c>
    </row>
    <row r="510" spans="2:44" x14ac:dyDescent="0.25">
      <c r="B510" s="181" t="s">
        <v>370</v>
      </c>
      <c r="C510" s="182" t="s">
        <v>236</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266"/>
        <v>0</v>
      </c>
      <c r="G510" s="183"/>
      <c r="H510" s="183">
        <f t="shared" si="267"/>
        <v>0</v>
      </c>
      <c r="I510" s="183"/>
      <c r="J510" s="183">
        <f t="shared" si="268"/>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270"/>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271"/>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272"/>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273"/>
        <v>0</v>
      </c>
      <c r="AR510" s="183">
        <f t="shared" si="274"/>
        <v>0</v>
      </c>
    </row>
    <row r="511" spans="2:44" x14ac:dyDescent="0.25">
      <c r="B511" s="181" t="s">
        <v>1239</v>
      </c>
      <c r="C511" s="182" t="s">
        <v>1240</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275">D511+E511</f>
        <v>0</v>
      </c>
      <c r="G511" s="183"/>
      <c r="H511" s="183">
        <f t="shared" ref="H511:H518" si="276">F511-G511</f>
        <v>0</v>
      </c>
      <c r="I511" s="183"/>
      <c r="J511" s="183">
        <f t="shared" ref="J511:J518" si="277">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278">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279">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280">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281">AN511+AO511+AP511</f>
        <v>0</v>
      </c>
      <c r="AR511" s="183">
        <f t="shared" ref="AR511:AR518" si="282">AE511+AI511+AM511+AQ511</f>
        <v>0</v>
      </c>
    </row>
    <row r="512" spans="2:44" x14ac:dyDescent="0.25">
      <c r="B512" s="181" t="s">
        <v>1241</v>
      </c>
      <c r="C512" s="182" t="s">
        <v>1242</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275"/>
        <v>0</v>
      </c>
      <c r="G512" s="183"/>
      <c r="H512" s="183">
        <f t="shared" si="276"/>
        <v>0</v>
      </c>
      <c r="I512" s="183"/>
      <c r="J512" s="183">
        <f t="shared" si="277"/>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278"/>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279"/>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280"/>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281"/>
        <v>0</v>
      </c>
      <c r="AR512" s="183">
        <f t="shared" si="282"/>
        <v>0</v>
      </c>
    </row>
    <row r="513" spans="2:44" x14ac:dyDescent="0.25">
      <c r="B513" s="181" t="s">
        <v>1243</v>
      </c>
      <c r="C513" s="182" t="s">
        <v>1244</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275"/>
        <v>0</v>
      </c>
      <c r="G513" s="183"/>
      <c r="H513" s="183">
        <f t="shared" si="276"/>
        <v>0</v>
      </c>
      <c r="I513" s="183"/>
      <c r="J513" s="183">
        <f t="shared" si="277"/>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278"/>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279"/>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280"/>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281"/>
        <v>0</v>
      </c>
      <c r="AR513" s="183">
        <f t="shared" si="282"/>
        <v>0</v>
      </c>
    </row>
    <row r="514" spans="2:44" x14ac:dyDescent="0.25">
      <c r="B514" s="181" t="s">
        <v>1245</v>
      </c>
      <c r="C514" s="182" t="s">
        <v>1246</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275"/>
        <v>0</v>
      </c>
      <c r="G514" s="183"/>
      <c r="H514" s="183">
        <f t="shared" si="276"/>
        <v>0</v>
      </c>
      <c r="I514" s="183"/>
      <c r="J514" s="183">
        <f t="shared" si="277"/>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278"/>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279"/>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280"/>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281"/>
        <v>0</v>
      </c>
      <c r="AR514" s="183">
        <f t="shared" si="282"/>
        <v>0</v>
      </c>
    </row>
    <row r="515" spans="2:44" x14ac:dyDescent="0.25">
      <c r="B515" s="181" t="s">
        <v>1247</v>
      </c>
      <c r="C515" s="182" t="s">
        <v>1248</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275"/>
        <v>0</v>
      </c>
      <c r="G515" s="183"/>
      <c r="H515" s="183">
        <f t="shared" si="276"/>
        <v>0</v>
      </c>
      <c r="I515" s="183"/>
      <c r="J515" s="183">
        <f t="shared" si="277"/>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278"/>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279"/>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280"/>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281"/>
        <v>0</v>
      </c>
      <c r="AR515" s="183">
        <f t="shared" si="282"/>
        <v>0</v>
      </c>
    </row>
    <row r="516" spans="2:44" x14ac:dyDescent="0.25">
      <c r="B516" s="181" t="s">
        <v>1249</v>
      </c>
      <c r="C516" s="182" t="s">
        <v>1250</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275"/>
        <v>0</v>
      </c>
      <c r="G516" s="183"/>
      <c r="H516" s="183">
        <f t="shared" si="276"/>
        <v>0</v>
      </c>
      <c r="I516" s="183"/>
      <c r="J516" s="183">
        <f t="shared" si="277"/>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278"/>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279"/>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280"/>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281"/>
        <v>0</v>
      </c>
      <c r="AR516" s="183">
        <f t="shared" si="282"/>
        <v>0</v>
      </c>
    </row>
    <row r="517" spans="2:44" x14ac:dyDescent="0.25">
      <c r="B517" s="181" t="s">
        <v>1251</v>
      </c>
      <c r="C517" s="182" t="s">
        <v>1252</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275"/>
        <v>0</v>
      </c>
      <c r="G517" s="183"/>
      <c r="H517" s="183">
        <f t="shared" si="276"/>
        <v>0</v>
      </c>
      <c r="I517" s="183"/>
      <c r="J517" s="183">
        <f t="shared" si="277"/>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278"/>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279"/>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280"/>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281"/>
        <v>0</v>
      </c>
      <c r="AR517" s="183">
        <f t="shared" si="282"/>
        <v>0</v>
      </c>
    </row>
    <row r="518" spans="2:44" x14ac:dyDescent="0.25">
      <c r="B518" s="181" t="s">
        <v>1253</v>
      </c>
      <c r="C518" s="182" t="s">
        <v>1254</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275"/>
        <v>0</v>
      </c>
      <c r="G518" s="183"/>
      <c r="H518" s="183">
        <f t="shared" si="276"/>
        <v>0</v>
      </c>
      <c r="I518" s="183"/>
      <c r="J518" s="183">
        <f t="shared" si="277"/>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278"/>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279"/>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280"/>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281"/>
        <v>0</v>
      </c>
      <c r="AR518" s="183">
        <f t="shared" si="282"/>
        <v>0</v>
      </c>
    </row>
    <row r="519" spans="2:44" x14ac:dyDescent="0.25">
      <c r="B519" s="181" t="s">
        <v>1255</v>
      </c>
      <c r="C519" s="182" t="s">
        <v>1256</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ref="F519:F542" si="283">D519+E519</f>
        <v>0</v>
      </c>
      <c r="G519" s="183"/>
      <c r="H519" s="183">
        <f t="shared" ref="H519:H540" si="284">F519-G519</f>
        <v>0</v>
      </c>
      <c r="I519" s="183"/>
      <c r="J519" s="183">
        <f t="shared" ref="J519:J540" si="285">F519-I519</f>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ref="AE519:AE542" si="286">AB519+AC519+AD519</f>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ref="AI519:AI542" si="287">AF519+AG519+AH519</f>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ref="AM519:AM542" si="288">AJ519+AK519+AL519</f>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ref="AQ519:AQ542" si="289">AN519+AO519+AP519</f>
        <v>0</v>
      </c>
      <c r="AR519" s="183">
        <f t="shared" ref="AR519:AR542" si="290">AE519+AI519+AM519+AQ519</f>
        <v>0</v>
      </c>
    </row>
    <row r="520" spans="2:44" x14ac:dyDescent="0.25">
      <c r="B520" s="181" t="s">
        <v>1257</v>
      </c>
      <c r="C520" s="182" t="s">
        <v>1258</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283"/>
        <v>0</v>
      </c>
      <c r="G520" s="183"/>
      <c r="H520" s="183">
        <f t="shared" si="284"/>
        <v>0</v>
      </c>
      <c r="I520" s="183"/>
      <c r="J520" s="183">
        <f t="shared" si="285"/>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286"/>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287"/>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288"/>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289"/>
        <v>0</v>
      </c>
      <c r="AR520" s="183">
        <f t="shared" si="290"/>
        <v>0</v>
      </c>
    </row>
    <row r="521" spans="2:44" x14ac:dyDescent="0.25">
      <c r="B521" s="181" t="s">
        <v>1259</v>
      </c>
      <c r="C521" s="182" t="s">
        <v>1260</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si="283"/>
        <v>0</v>
      </c>
      <c r="G521" s="183"/>
      <c r="H521" s="183">
        <f t="shared" si="284"/>
        <v>0</v>
      </c>
      <c r="I521" s="183"/>
      <c r="J521" s="183">
        <f t="shared" si="285"/>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si="286"/>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si="287"/>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si="288"/>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si="289"/>
        <v>0</v>
      </c>
      <c r="AR521" s="183">
        <f t="shared" si="290"/>
        <v>0</v>
      </c>
    </row>
    <row r="522" spans="2:44" x14ac:dyDescent="0.25">
      <c r="B522" s="181" t="s">
        <v>1261</v>
      </c>
      <c r="C522" s="182" t="s">
        <v>1262</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283"/>
        <v>0</v>
      </c>
      <c r="G522" s="183"/>
      <c r="H522" s="183">
        <f t="shared" si="284"/>
        <v>0</v>
      </c>
      <c r="I522" s="183"/>
      <c r="J522" s="183">
        <f t="shared" si="285"/>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286"/>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287"/>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288"/>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289"/>
        <v>0</v>
      </c>
      <c r="AR522" s="183">
        <f t="shared" si="290"/>
        <v>0</v>
      </c>
    </row>
    <row r="523" spans="2:44" x14ac:dyDescent="0.25">
      <c r="B523" s="181" t="s">
        <v>1263</v>
      </c>
      <c r="C523" s="182" t="s">
        <v>1264</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si="283"/>
        <v>0</v>
      </c>
      <c r="G523" s="183"/>
      <c r="H523" s="183">
        <f t="shared" si="284"/>
        <v>0</v>
      </c>
      <c r="I523" s="183"/>
      <c r="J523" s="183">
        <f t="shared" si="285"/>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si="286"/>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si="287"/>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si="288"/>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si="289"/>
        <v>0</v>
      </c>
      <c r="AR523" s="183">
        <f t="shared" si="290"/>
        <v>0</v>
      </c>
    </row>
    <row r="524" spans="2:44" x14ac:dyDescent="0.25">
      <c r="B524" s="181" t="s">
        <v>1265</v>
      </c>
      <c r="C524" s="182" t="s">
        <v>1266</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283"/>
        <v>0</v>
      </c>
      <c r="G524" s="183"/>
      <c r="H524" s="183">
        <f t="shared" si="284"/>
        <v>0</v>
      </c>
      <c r="I524" s="183"/>
      <c r="J524" s="183">
        <f t="shared" si="285"/>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286"/>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287"/>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288"/>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289"/>
        <v>0</v>
      </c>
      <c r="AR524" s="183">
        <f t="shared" si="290"/>
        <v>0</v>
      </c>
    </row>
    <row r="525" spans="2:44" x14ac:dyDescent="0.25">
      <c r="B525" s="181" t="s">
        <v>1267</v>
      </c>
      <c r="C525" s="182" t="s">
        <v>1268</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283"/>
        <v>0</v>
      </c>
      <c r="G525" s="183"/>
      <c r="H525" s="183">
        <f t="shared" si="284"/>
        <v>0</v>
      </c>
      <c r="I525" s="183"/>
      <c r="J525" s="183">
        <f t="shared" si="285"/>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286"/>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287"/>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288"/>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289"/>
        <v>0</v>
      </c>
      <c r="AR525" s="183">
        <f t="shared" si="290"/>
        <v>0</v>
      </c>
    </row>
    <row r="526" spans="2:44" x14ac:dyDescent="0.25">
      <c r="B526" s="178" t="s">
        <v>371</v>
      </c>
      <c r="C526" s="179" t="s">
        <v>237</v>
      </c>
      <c r="D526" s="180">
        <f>D527+D541</f>
        <v>0</v>
      </c>
      <c r="E526" s="180">
        <f>E527+E541</f>
        <v>0</v>
      </c>
      <c r="F526" s="180">
        <f t="shared" si="283"/>
        <v>0</v>
      </c>
      <c r="G526" s="180">
        <f>G527+G541</f>
        <v>0</v>
      </c>
      <c r="H526" s="180">
        <f t="shared" si="284"/>
        <v>0</v>
      </c>
      <c r="I526" s="180">
        <f>I527+I541</f>
        <v>0</v>
      </c>
      <c r="J526" s="180">
        <f t="shared" si="285"/>
        <v>0</v>
      </c>
      <c r="K526" s="180">
        <f t="shared" ref="K526:AP526" si="291">K527+K541</f>
        <v>0</v>
      </c>
      <c r="L526" s="180">
        <f t="shared" si="291"/>
        <v>0</v>
      </c>
      <c r="M526" s="180">
        <f t="shared" si="291"/>
        <v>0</v>
      </c>
      <c r="N526" s="180">
        <f t="shared" si="291"/>
        <v>0</v>
      </c>
      <c r="O526" s="180">
        <f t="shared" si="291"/>
        <v>0</v>
      </c>
      <c r="P526" s="180">
        <f>P527+P541</f>
        <v>0</v>
      </c>
      <c r="Q526" s="180">
        <f>Q527+Q541</f>
        <v>0</v>
      </c>
      <c r="R526" s="180">
        <f t="shared" si="291"/>
        <v>0</v>
      </c>
      <c r="S526" s="180">
        <f t="shared" si="291"/>
        <v>0</v>
      </c>
      <c r="T526" s="180">
        <f>T527+T541</f>
        <v>0</v>
      </c>
      <c r="U526" s="180">
        <f t="shared" si="291"/>
        <v>0</v>
      </c>
      <c r="V526" s="180">
        <f t="shared" si="291"/>
        <v>0</v>
      </c>
      <c r="W526" s="180">
        <f>W527+W541</f>
        <v>0</v>
      </c>
      <c r="X526" s="180">
        <f t="shared" si="291"/>
        <v>0</v>
      </c>
      <c r="Y526" s="180">
        <f>Y527+Y541</f>
        <v>0</v>
      </c>
      <c r="Z526" s="180">
        <f>Z527+Z541</f>
        <v>0</v>
      </c>
      <c r="AA526" s="180">
        <f t="shared" si="291"/>
        <v>0</v>
      </c>
      <c r="AB526" s="180">
        <f t="shared" si="291"/>
        <v>0</v>
      </c>
      <c r="AC526" s="180">
        <f t="shared" si="291"/>
        <v>0</v>
      </c>
      <c r="AD526" s="180">
        <f t="shared" si="291"/>
        <v>0</v>
      </c>
      <c r="AE526" s="180">
        <f t="shared" si="286"/>
        <v>0</v>
      </c>
      <c r="AF526" s="180">
        <f t="shared" si="291"/>
        <v>0</v>
      </c>
      <c r="AG526" s="180">
        <f t="shared" si="291"/>
        <v>0</v>
      </c>
      <c r="AH526" s="180">
        <f t="shared" si="291"/>
        <v>0</v>
      </c>
      <c r="AI526" s="180">
        <f t="shared" si="287"/>
        <v>0</v>
      </c>
      <c r="AJ526" s="180">
        <f t="shared" si="291"/>
        <v>0</v>
      </c>
      <c r="AK526" s="180">
        <f t="shared" si="291"/>
        <v>0</v>
      </c>
      <c r="AL526" s="180">
        <f t="shared" si="291"/>
        <v>0</v>
      </c>
      <c r="AM526" s="180">
        <f t="shared" si="288"/>
        <v>0</v>
      </c>
      <c r="AN526" s="180">
        <f t="shared" si="291"/>
        <v>0</v>
      </c>
      <c r="AO526" s="180">
        <f t="shared" si="291"/>
        <v>0</v>
      </c>
      <c r="AP526" s="180">
        <f t="shared" si="291"/>
        <v>0</v>
      </c>
      <c r="AQ526" s="180">
        <f t="shared" si="289"/>
        <v>0</v>
      </c>
      <c r="AR526" s="180">
        <f t="shared" si="290"/>
        <v>0</v>
      </c>
    </row>
    <row r="527" spans="2:44" x14ac:dyDescent="0.25">
      <c r="B527" s="190" t="s">
        <v>372</v>
      </c>
      <c r="C527" s="191" t="s">
        <v>238</v>
      </c>
      <c r="D527" s="192">
        <f>SUM(D528:D540)</f>
        <v>0</v>
      </c>
      <c r="E527" s="192">
        <f>SUM(E528:E540)</f>
        <v>0</v>
      </c>
      <c r="F527" s="192">
        <f t="shared" si="283"/>
        <v>0</v>
      </c>
      <c r="G527" s="192">
        <f>SUM(G528:G540)</f>
        <v>0</v>
      </c>
      <c r="H527" s="192">
        <f t="shared" si="284"/>
        <v>0</v>
      </c>
      <c r="I527" s="192">
        <f>SUM(I528:I540)</f>
        <v>0</v>
      </c>
      <c r="J527" s="192">
        <f t="shared" si="285"/>
        <v>0</v>
      </c>
      <c r="K527" s="192">
        <f t="shared" ref="K527:AP527" si="292">SUM(K528:K540)</f>
        <v>0</v>
      </c>
      <c r="L527" s="192">
        <f t="shared" si="292"/>
        <v>0</v>
      </c>
      <c r="M527" s="192">
        <f t="shared" si="292"/>
        <v>0</v>
      </c>
      <c r="N527" s="192">
        <f t="shared" si="292"/>
        <v>0</v>
      </c>
      <c r="O527" s="192">
        <f t="shared" si="292"/>
        <v>0</v>
      </c>
      <c r="P527" s="192">
        <f>SUM(P528:P540)</f>
        <v>0</v>
      </c>
      <c r="Q527" s="192">
        <f>SUM(Q528:Q540)</f>
        <v>0</v>
      </c>
      <c r="R527" s="192">
        <f t="shared" si="292"/>
        <v>0</v>
      </c>
      <c r="S527" s="192">
        <f t="shared" si="292"/>
        <v>0</v>
      </c>
      <c r="T527" s="192">
        <f>SUM(T528:T540)</f>
        <v>0</v>
      </c>
      <c r="U527" s="192">
        <f t="shared" si="292"/>
        <v>0</v>
      </c>
      <c r="V527" s="192">
        <f t="shared" si="292"/>
        <v>0</v>
      </c>
      <c r="W527" s="192">
        <f>SUM(W528:W540)</f>
        <v>0</v>
      </c>
      <c r="X527" s="192">
        <f t="shared" si="292"/>
        <v>0</v>
      </c>
      <c r="Y527" s="192">
        <f>SUM(Y528:Y540)</f>
        <v>0</v>
      </c>
      <c r="Z527" s="192">
        <f>SUM(Z528:Z540)</f>
        <v>0</v>
      </c>
      <c r="AA527" s="192">
        <f t="shared" si="292"/>
        <v>0</v>
      </c>
      <c r="AB527" s="192">
        <f t="shared" si="292"/>
        <v>0</v>
      </c>
      <c r="AC527" s="192">
        <f t="shared" si="292"/>
        <v>0</v>
      </c>
      <c r="AD527" s="192">
        <f t="shared" si="292"/>
        <v>0</v>
      </c>
      <c r="AE527" s="192">
        <f t="shared" si="286"/>
        <v>0</v>
      </c>
      <c r="AF527" s="192">
        <f t="shared" si="292"/>
        <v>0</v>
      </c>
      <c r="AG527" s="192">
        <f t="shared" si="292"/>
        <v>0</v>
      </c>
      <c r="AH527" s="192">
        <f t="shared" si="292"/>
        <v>0</v>
      </c>
      <c r="AI527" s="192">
        <f t="shared" si="287"/>
        <v>0</v>
      </c>
      <c r="AJ527" s="192">
        <f t="shared" si="292"/>
        <v>0</v>
      </c>
      <c r="AK527" s="192">
        <f t="shared" si="292"/>
        <v>0</v>
      </c>
      <c r="AL527" s="192">
        <f t="shared" si="292"/>
        <v>0</v>
      </c>
      <c r="AM527" s="192">
        <f t="shared" si="288"/>
        <v>0</v>
      </c>
      <c r="AN527" s="192">
        <f t="shared" si="292"/>
        <v>0</v>
      </c>
      <c r="AO527" s="192">
        <f t="shared" si="292"/>
        <v>0</v>
      </c>
      <c r="AP527" s="192">
        <f t="shared" si="292"/>
        <v>0</v>
      </c>
      <c r="AQ527" s="192">
        <f t="shared" si="289"/>
        <v>0</v>
      </c>
      <c r="AR527" s="192">
        <f t="shared" si="290"/>
        <v>0</v>
      </c>
    </row>
    <row r="528" spans="2:44" x14ac:dyDescent="0.25">
      <c r="B528" s="181" t="s">
        <v>373</v>
      </c>
      <c r="C528" s="182" t="s">
        <v>239</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si="283"/>
        <v>0</v>
      </c>
      <c r="G528" s="183"/>
      <c r="H528" s="183">
        <f t="shared" si="284"/>
        <v>0</v>
      </c>
      <c r="I528" s="183"/>
      <c r="J528" s="183">
        <f t="shared" si="285"/>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si="286"/>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si="287"/>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si="288"/>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si="289"/>
        <v>0</v>
      </c>
      <c r="AR528" s="183">
        <f t="shared" si="290"/>
        <v>0</v>
      </c>
    </row>
    <row r="529" spans="2:44" x14ac:dyDescent="0.25">
      <c r="B529" s="181" t="s">
        <v>1269</v>
      </c>
      <c r="C529" s="182" t="s">
        <v>1270</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si="283"/>
        <v>0</v>
      </c>
      <c r="G529" s="183"/>
      <c r="H529" s="183">
        <f t="shared" si="284"/>
        <v>0</v>
      </c>
      <c r="I529" s="183"/>
      <c r="J529" s="183">
        <f t="shared" si="285"/>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si="286"/>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si="287"/>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si="288"/>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si="289"/>
        <v>0</v>
      </c>
      <c r="AR529" s="183">
        <f t="shared" si="290"/>
        <v>0</v>
      </c>
    </row>
    <row r="530" spans="2:44" x14ac:dyDescent="0.25">
      <c r="B530" s="181" t="s">
        <v>1271</v>
      </c>
      <c r="C530" s="182" t="s">
        <v>1272</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283"/>
        <v>0</v>
      </c>
      <c r="G530" s="183"/>
      <c r="H530" s="183">
        <f t="shared" si="284"/>
        <v>0</v>
      </c>
      <c r="I530" s="183"/>
      <c r="J530" s="183">
        <f t="shared" si="28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28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28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28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289"/>
        <v>0</v>
      </c>
      <c r="AR530" s="183">
        <f t="shared" si="290"/>
        <v>0</v>
      </c>
    </row>
    <row r="531" spans="2:44" x14ac:dyDescent="0.25">
      <c r="B531" s="181" t="s">
        <v>1273</v>
      </c>
      <c r="C531" s="182" t="s">
        <v>1274</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283"/>
        <v>0</v>
      </c>
      <c r="G531" s="183"/>
      <c r="H531" s="183">
        <f t="shared" si="284"/>
        <v>0</v>
      </c>
      <c r="I531" s="183"/>
      <c r="J531" s="183">
        <f t="shared" si="28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28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28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28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289"/>
        <v>0</v>
      </c>
      <c r="AR531" s="183">
        <f t="shared" si="290"/>
        <v>0</v>
      </c>
    </row>
    <row r="532" spans="2:44" x14ac:dyDescent="0.25">
      <c r="B532" s="181" t="s">
        <v>1275</v>
      </c>
      <c r="C532" s="182" t="s">
        <v>1276</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283"/>
        <v>0</v>
      </c>
      <c r="G532" s="183"/>
      <c r="H532" s="183">
        <f t="shared" si="284"/>
        <v>0</v>
      </c>
      <c r="I532" s="183"/>
      <c r="J532" s="183">
        <f t="shared" si="28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28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28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28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289"/>
        <v>0</v>
      </c>
      <c r="AR532" s="183">
        <f t="shared" si="290"/>
        <v>0</v>
      </c>
    </row>
    <row r="533" spans="2:44" x14ac:dyDescent="0.25">
      <c r="B533" s="181" t="s">
        <v>1277</v>
      </c>
      <c r="C533" s="182" t="s">
        <v>1278</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283"/>
        <v>0</v>
      </c>
      <c r="G533" s="183"/>
      <c r="H533" s="183">
        <f t="shared" si="284"/>
        <v>0</v>
      </c>
      <c r="I533" s="183"/>
      <c r="J533" s="183">
        <f t="shared" si="28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28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28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28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289"/>
        <v>0</v>
      </c>
      <c r="AR533" s="183">
        <f t="shared" si="290"/>
        <v>0</v>
      </c>
    </row>
    <row r="534" spans="2:44" x14ac:dyDescent="0.25">
      <c r="B534" s="181" t="s">
        <v>374</v>
      </c>
      <c r="C534" s="182" t="s">
        <v>240</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283"/>
        <v>0</v>
      </c>
      <c r="G534" s="183"/>
      <c r="H534" s="183">
        <f t="shared" si="284"/>
        <v>0</v>
      </c>
      <c r="I534" s="183"/>
      <c r="J534" s="183">
        <f t="shared" si="285"/>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286"/>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287"/>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288"/>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289"/>
        <v>0</v>
      </c>
      <c r="AR534" s="183">
        <f t="shared" si="290"/>
        <v>0</v>
      </c>
    </row>
    <row r="535" spans="2:44" x14ac:dyDescent="0.25">
      <c r="B535" s="181" t="s">
        <v>1279</v>
      </c>
      <c r="C535" s="182" t="s">
        <v>1280</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283"/>
        <v>0</v>
      </c>
      <c r="G535" s="183"/>
      <c r="H535" s="183">
        <f t="shared" si="284"/>
        <v>0</v>
      </c>
      <c r="I535" s="183"/>
      <c r="J535" s="183">
        <f t="shared" si="285"/>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286"/>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287"/>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288"/>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289"/>
        <v>0</v>
      </c>
      <c r="AR535" s="183">
        <f t="shared" si="290"/>
        <v>0</v>
      </c>
    </row>
    <row r="536" spans="2:44" x14ac:dyDescent="0.25">
      <c r="B536" s="181" t="s">
        <v>1281</v>
      </c>
      <c r="C536" s="182" t="s">
        <v>1282</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283"/>
        <v>0</v>
      </c>
      <c r="G536" s="183"/>
      <c r="H536" s="183">
        <f t="shared" si="284"/>
        <v>0</v>
      </c>
      <c r="I536" s="183"/>
      <c r="J536" s="183">
        <f t="shared" si="285"/>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286"/>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287"/>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288"/>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289"/>
        <v>0</v>
      </c>
      <c r="AR536" s="183">
        <f t="shared" si="290"/>
        <v>0</v>
      </c>
    </row>
    <row r="537" spans="2:44" x14ac:dyDescent="0.25">
      <c r="B537" s="181" t="s">
        <v>1283</v>
      </c>
      <c r="C537" s="182" t="s">
        <v>1284</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si="283"/>
        <v>0</v>
      </c>
      <c r="G537" s="183"/>
      <c r="H537" s="183">
        <f t="shared" si="284"/>
        <v>0</v>
      </c>
      <c r="I537" s="183"/>
      <c r="J537" s="183">
        <f t="shared" si="285"/>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si="286"/>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si="287"/>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si="288"/>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si="289"/>
        <v>0</v>
      </c>
      <c r="AR537" s="183">
        <f t="shared" si="290"/>
        <v>0</v>
      </c>
    </row>
    <row r="538" spans="2:44" x14ac:dyDescent="0.25">
      <c r="B538" s="181" t="s">
        <v>1285</v>
      </c>
      <c r="C538" s="182" t="s">
        <v>1286</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si="283"/>
        <v>0</v>
      </c>
      <c r="G538" s="183"/>
      <c r="H538" s="183">
        <f t="shared" si="284"/>
        <v>0</v>
      </c>
      <c r="I538" s="183"/>
      <c r="J538" s="183">
        <f t="shared" si="285"/>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si="286"/>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si="287"/>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si="288"/>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si="289"/>
        <v>0</v>
      </c>
      <c r="AR538" s="183">
        <f t="shared" si="290"/>
        <v>0</v>
      </c>
    </row>
    <row r="539" spans="2:44" x14ac:dyDescent="0.25">
      <c r="B539" s="181" t="s">
        <v>1287</v>
      </c>
      <c r="C539" s="182" t="s">
        <v>1288</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si="283"/>
        <v>0</v>
      </c>
      <c r="G539" s="183"/>
      <c r="H539" s="183">
        <f t="shared" si="284"/>
        <v>0</v>
      </c>
      <c r="I539" s="183"/>
      <c r="J539" s="183">
        <f t="shared" si="285"/>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si="286"/>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si="287"/>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si="288"/>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si="289"/>
        <v>0</v>
      </c>
      <c r="AR539" s="183">
        <f t="shared" si="290"/>
        <v>0</v>
      </c>
    </row>
    <row r="540" spans="2:44" x14ac:dyDescent="0.25">
      <c r="B540" s="181" t="s">
        <v>1289</v>
      </c>
      <c r="C540" s="182" t="s">
        <v>1290</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283"/>
        <v>0</v>
      </c>
      <c r="G540" s="183"/>
      <c r="H540" s="183">
        <f t="shared" si="284"/>
        <v>0</v>
      </c>
      <c r="I540" s="183"/>
      <c r="J540" s="183">
        <f t="shared" si="285"/>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286"/>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287"/>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288"/>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289"/>
        <v>0</v>
      </c>
      <c r="AR540" s="183">
        <f t="shared" si="290"/>
        <v>0</v>
      </c>
    </row>
    <row r="541" spans="2:44" x14ac:dyDescent="0.25">
      <c r="B541" s="190" t="s">
        <v>375</v>
      </c>
      <c r="C541" s="191" t="s">
        <v>241</v>
      </c>
      <c r="D541" s="192">
        <f>SUM(D542:D559)</f>
        <v>0</v>
      </c>
      <c r="E541" s="192">
        <f>SUM(E542:E559)</f>
        <v>0</v>
      </c>
      <c r="F541" s="192">
        <f t="shared" si="283"/>
        <v>0</v>
      </c>
      <c r="G541" s="192">
        <f>SUM(G542:G559)</f>
        <v>0</v>
      </c>
      <c r="H541" s="192">
        <f>SUM(H542:H559)</f>
        <v>0</v>
      </c>
      <c r="I541" s="192">
        <f>SUM(I542:I559)</f>
        <v>0</v>
      </c>
      <c r="J541" s="192">
        <f>SUM(J542:J559)</f>
        <v>0</v>
      </c>
      <c r="K541" s="192">
        <f t="shared" ref="K541:AD541" si="293">SUM(K542:K559)</f>
        <v>0</v>
      </c>
      <c r="L541" s="192">
        <f t="shared" si="293"/>
        <v>0</v>
      </c>
      <c r="M541" s="192">
        <f t="shared" si="293"/>
        <v>0</v>
      </c>
      <c r="N541" s="192">
        <f t="shared" si="293"/>
        <v>0</v>
      </c>
      <c r="O541" s="192">
        <f t="shared" si="293"/>
        <v>0</v>
      </c>
      <c r="P541" s="192">
        <f t="shared" si="293"/>
        <v>0</v>
      </c>
      <c r="Q541" s="192">
        <f t="shared" si="293"/>
        <v>0</v>
      </c>
      <c r="R541" s="192">
        <f t="shared" si="293"/>
        <v>0</v>
      </c>
      <c r="S541" s="192">
        <f t="shared" si="293"/>
        <v>0</v>
      </c>
      <c r="T541" s="192">
        <f t="shared" si="293"/>
        <v>0</v>
      </c>
      <c r="U541" s="192">
        <f t="shared" si="293"/>
        <v>0</v>
      </c>
      <c r="V541" s="192">
        <f t="shared" si="293"/>
        <v>0</v>
      </c>
      <c r="W541" s="192">
        <f t="shared" si="293"/>
        <v>0</v>
      </c>
      <c r="X541" s="192">
        <f t="shared" si="293"/>
        <v>0</v>
      </c>
      <c r="Y541" s="192">
        <f t="shared" si="293"/>
        <v>0</v>
      </c>
      <c r="Z541" s="192">
        <f>SUM(Z542:Z559)</f>
        <v>0</v>
      </c>
      <c r="AA541" s="192">
        <f t="shared" si="293"/>
        <v>0</v>
      </c>
      <c r="AB541" s="192">
        <f t="shared" si="293"/>
        <v>0</v>
      </c>
      <c r="AC541" s="192">
        <f t="shared" si="293"/>
        <v>0</v>
      </c>
      <c r="AD541" s="192">
        <f t="shared" si="293"/>
        <v>0</v>
      </c>
      <c r="AE541" s="192">
        <f t="shared" si="286"/>
        <v>0</v>
      </c>
      <c r="AF541" s="192">
        <f>SUM(AF542:AF559)</f>
        <v>0</v>
      </c>
      <c r="AG541" s="192">
        <f>SUM(AG542:AG559)</f>
        <v>0</v>
      </c>
      <c r="AH541" s="192">
        <f>SUM(AH542:AH559)</f>
        <v>0</v>
      </c>
      <c r="AI541" s="192">
        <f t="shared" si="287"/>
        <v>0</v>
      </c>
      <c r="AJ541" s="192">
        <f>SUM(AJ542:AJ559)</f>
        <v>0</v>
      </c>
      <c r="AK541" s="192">
        <f>SUM(AK542:AK559)</f>
        <v>0</v>
      </c>
      <c r="AL541" s="192">
        <f>SUM(AL542:AL559)</f>
        <v>0</v>
      </c>
      <c r="AM541" s="192">
        <f t="shared" si="288"/>
        <v>0</v>
      </c>
      <c r="AN541" s="192">
        <f>SUM(AN542:AN559)</f>
        <v>0</v>
      </c>
      <c r="AO541" s="192">
        <f>SUM(AO542:AO559)</f>
        <v>0</v>
      </c>
      <c r="AP541" s="192">
        <f>SUM(AP542:AP559)</f>
        <v>0</v>
      </c>
      <c r="AQ541" s="192">
        <f t="shared" si="289"/>
        <v>0</v>
      </c>
      <c r="AR541" s="192">
        <f t="shared" si="290"/>
        <v>0</v>
      </c>
    </row>
    <row r="542" spans="2:44" x14ac:dyDescent="0.25">
      <c r="B542" s="181" t="s">
        <v>376</v>
      </c>
      <c r="C542" s="182" t="s">
        <v>242</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si="283"/>
        <v>0</v>
      </c>
      <c r="G542" s="183"/>
      <c r="H542" s="183">
        <f>F542-G542</f>
        <v>0</v>
      </c>
      <c r="I542" s="183"/>
      <c r="J542" s="183">
        <f>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si="286"/>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si="287"/>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si="288"/>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si="289"/>
        <v>0</v>
      </c>
      <c r="AR542" s="183">
        <f t="shared" si="290"/>
        <v>0</v>
      </c>
    </row>
    <row r="543" spans="2:44" x14ac:dyDescent="0.25">
      <c r="B543" s="181" t="s">
        <v>377</v>
      </c>
      <c r="C543" s="182" t="s">
        <v>243</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294">D543+E543</f>
        <v>0</v>
      </c>
      <c r="G543" s="183"/>
      <c r="H543" s="183">
        <f t="shared" ref="H543:H559" si="295">F543-G543</f>
        <v>0</v>
      </c>
      <c r="I543" s="183"/>
      <c r="J543" s="183">
        <f t="shared" ref="J543:J559" si="296">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297">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298">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299">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300">AN543+AO543+AP543</f>
        <v>0</v>
      </c>
      <c r="AR543" s="183">
        <f t="shared" ref="AR543:AR559" si="301">AE543+AI543+AM543+AQ543</f>
        <v>0</v>
      </c>
    </row>
    <row r="544" spans="2:44" x14ac:dyDescent="0.25">
      <c r="B544" s="181" t="s">
        <v>1291</v>
      </c>
      <c r="C544" s="182" t="s">
        <v>1292</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294"/>
        <v>0</v>
      </c>
      <c r="G544" s="183"/>
      <c r="H544" s="183">
        <f t="shared" si="295"/>
        <v>0</v>
      </c>
      <c r="I544" s="183"/>
      <c r="J544" s="183">
        <f t="shared" si="296"/>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297"/>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298"/>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299"/>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300"/>
        <v>0</v>
      </c>
      <c r="AR544" s="183">
        <f t="shared" si="301"/>
        <v>0</v>
      </c>
    </row>
    <row r="545" spans="2:44" x14ac:dyDescent="0.25">
      <c r="B545" s="181" t="s">
        <v>1293</v>
      </c>
      <c r="C545" s="182" t="s">
        <v>510</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294"/>
        <v>0</v>
      </c>
      <c r="G545" s="183"/>
      <c r="H545" s="183">
        <f t="shared" si="295"/>
        <v>0</v>
      </c>
      <c r="I545" s="183"/>
      <c r="J545" s="183">
        <f t="shared" si="296"/>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297"/>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298"/>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299"/>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300"/>
        <v>0</v>
      </c>
      <c r="AR545" s="183">
        <f t="shared" si="301"/>
        <v>0</v>
      </c>
    </row>
    <row r="546" spans="2:44" x14ac:dyDescent="0.25">
      <c r="B546" s="181" t="s">
        <v>1294</v>
      </c>
      <c r="C546" s="182" t="s">
        <v>1295</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294"/>
        <v>0</v>
      </c>
      <c r="G546" s="183"/>
      <c r="H546" s="183">
        <f t="shared" si="295"/>
        <v>0</v>
      </c>
      <c r="I546" s="183"/>
      <c r="J546" s="183">
        <f t="shared" si="296"/>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297"/>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298"/>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299"/>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300"/>
        <v>0</v>
      </c>
      <c r="AR546" s="183">
        <f t="shared" si="301"/>
        <v>0</v>
      </c>
    </row>
    <row r="547" spans="2:44" x14ac:dyDescent="0.25">
      <c r="B547" s="181" t="s">
        <v>1296</v>
      </c>
      <c r="C547" s="182" t="s">
        <v>1297</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294"/>
        <v>0</v>
      </c>
      <c r="G547" s="183"/>
      <c r="H547" s="183">
        <f t="shared" si="295"/>
        <v>0</v>
      </c>
      <c r="I547" s="183"/>
      <c r="J547" s="183">
        <f t="shared" si="296"/>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297"/>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298"/>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299"/>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300"/>
        <v>0</v>
      </c>
      <c r="AR547" s="183">
        <f t="shared" si="301"/>
        <v>0</v>
      </c>
    </row>
    <row r="548" spans="2:44" x14ac:dyDescent="0.25">
      <c r="B548" s="181" t="s">
        <v>1298</v>
      </c>
      <c r="C548" s="182" t="s">
        <v>1299</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294"/>
        <v>0</v>
      </c>
      <c r="G548" s="183"/>
      <c r="H548" s="183">
        <f t="shared" si="295"/>
        <v>0</v>
      </c>
      <c r="I548" s="183"/>
      <c r="J548" s="183">
        <f t="shared" si="296"/>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297"/>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298"/>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299"/>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300"/>
        <v>0</v>
      </c>
      <c r="AR548" s="183">
        <f t="shared" si="301"/>
        <v>0</v>
      </c>
    </row>
    <row r="549" spans="2:44" x14ac:dyDescent="0.25">
      <c r="B549" s="181" t="s">
        <v>1300</v>
      </c>
      <c r="C549" s="182" t="s">
        <v>1301</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294"/>
        <v>0</v>
      </c>
      <c r="G549" s="183"/>
      <c r="H549" s="183">
        <f t="shared" si="295"/>
        <v>0</v>
      </c>
      <c r="I549" s="183"/>
      <c r="J549" s="183">
        <f t="shared" si="296"/>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297"/>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298"/>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299"/>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300"/>
        <v>0</v>
      </c>
      <c r="AR549" s="183">
        <f t="shared" si="301"/>
        <v>0</v>
      </c>
    </row>
    <row r="550" spans="2:44" x14ac:dyDescent="0.25">
      <c r="B550" s="181" t="s">
        <v>1302</v>
      </c>
      <c r="C550" s="182" t="s">
        <v>1303</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294"/>
        <v>0</v>
      </c>
      <c r="G550" s="183"/>
      <c r="H550" s="183">
        <f t="shared" si="295"/>
        <v>0</v>
      </c>
      <c r="I550" s="183"/>
      <c r="J550" s="183">
        <f t="shared" si="296"/>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297"/>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298"/>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299"/>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300"/>
        <v>0</v>
      </c>
      <c r="AR550" s="183">
        <f t="shared" si="301"/>
        <v>0</v>
      </c>
    </row>
    <row r="551" spans="2:44" x14ac:dyDescent="0.25">
      <c r="B551" s="181" t="s">
        <v>1304</v>
      </c>
      <c r="C551" s="182" t="s">
        <v>1305</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294"/>
        <v>0</v>
      </c>
      <c r="G551" s="183"/>
      <c r="H551" s="183">
        <f t="shared" si="295"/>
        <v>0</v>
      </c>
      <c r="I551" s="183"/>
      <c r="J551" s="183">
        <f t="shared" si="296"/>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297"/>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298"/>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299"/>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300"/>
        <v>0</v>
      </c>
      <c r="AR551" s="183">
        <f t="shared" si="301"/>
        <v>0</v>
      </c>
    </row>
    <row r="552" spans="2:44" x14ac:dyDescent="0.25">
      <c r="B552" s="181" t="s">
        <v>1306</v>
      </c>
      <c r="C552" s="182" t="s">
        <v>1307</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294"/>
        <v>0</v>
      </c>
      <c r="G552" s="183"/>
      <c r="H552" s="183">
        <f t="shared" si="295"/>
        <v>0</v>
      </c>
      <c r="I552" s="183"/>
      <c r="J552" s="183">
        <f t="shared" si="296"/>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297"/>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298"/>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299"/>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300"/>
        <v>0</v>
      </c>
      <c r="AR552" s="183">
        <f t="shared" si="301"/>
        <v>0</v>
      </c>
    </row>
    <row r="553" spans="2:44" x14ac:dyDescent="0.25">
      <c r="B553" s="181" t="s">
        <v>1308</v>
      </c>
      <c r="C553" s="182" t="s">
        <v>1309</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294"/>
        <v>0</v>
      </c>
      <c r="G553" s="183"/>
      <c r="H553" s="183">
        <f t="shared" si="295"/>
        <v>0</v>
      </c>
      <c r="I553" s="183"/>
      <c r="J553" s="183">
        <f t="shared" si="296"/>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297"/>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298"/>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299"/>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300"/>
        <v>0</v>
      </c>
      <c r="AR553" s="183">
        <f t="shared" si="301"/>
        <v>0</v>
      </c>
    </row>
    <row r="554" spans="2:44" x14ac:dyDescent="0.25">
      <c r="B554" s="181" t="s">
        <v>1310</v>
      </c>
      <c r="C554" s="182" t="s">
        <v>1311</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294"/>
        <v>0</v>
      </c>
      <c r="G554" s="183"/>
      <c r="H554" s="183">
        <f t="shared" si="295"/>
        <v>0</v>
      </c>
      <c r="I554" s="183"/>
      <c r="J554" s="183">
        <f t="shared" si="296"/>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297"/>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298"/>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299"/>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300"/>
        <v>0</v>
      </c>
      <c r="AR554" s="183">
        <f t="shared" si="301"/>
        <v>0</v>
      </c>
    </row>
    <row r="555" spans="2:44" x14ac:dyDescent="0.25">
      <c r="B555" s="181" t="s">
        <v>1312</v>
      </c>
      <c r="C555" s="182" t="s">
        <v>1313</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294"/>
        <v>0</v>
      </c>
      <c r="G555" s="183"/>
      <c r="H555" s="183">
        <f t="shared" si="295"/>
        <v>0</v>
      </c>
      <c r="I555" s="183"/>
      <c r="J555" s="183">
        <f t="shared" si="296"/>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297"/>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298"/>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299"/>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300"/>
        <v>0</v>
      </c>
      <c r="AR555" s="183">
        <f t="shared" si="301"/>
        <v>0</v>
      </c>
    </row>
    <row r="556" spans="2:44" x14ac:dyDescent="0.25">
      <c r="B556" s="181" t="s">
        <v>1314</v>
      </c>
      <c r="C556" s="182" t="s">
        <v>1315</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294"/>
        <v>0</v>
      </c>
      <c r="G556" s="183"/>
      <c r="H556" s="183">
        <f t="shared" si="295"/>
        <v>0</v>
      </c>
      <c r="I556" s="183"/>
      <c r="J556" s="183">
        <f t="shared" si="296"/>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297"/>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298"/>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299"/>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300"/>
        <v>0</v>
      </c>
      <c r="AR556" s="183">
        <f t="shared" si="301"/>
        <v>0</v>
      </c>
    </row>
    <row r="557" spans="2:44" x14ac:dyDescent="0.25">
      <c r="B557" s="181" t="s">
        <v>1316</v>
      </c>
      <c r="C557" s="182" t="s">
        <v>1317</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294"/>
        <v>0</v>
      </c>
      <c r="G557" s="183"/>
      <c r="H557" s="183">
        <f t="shared" si="295"/>
        <v>0</v>
      </c>
      <c r="I557" s="183"/>
      <c r="J557" s="183">
        <f t="shared" si="296"/>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297"/>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298"/>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299"/>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300"/>
        <v>0</v>
      </c>
      <c r="AR557" s="183">
        <f t="shared" si="301"/>
        <v>0</v>
      </c>
    </row>
    <row r="558" spans="2:44" x14ac:dyDescent="0.25">
      <c r="B558" s="181" t="s">
        <v>1318</v>
      </c>
      <c r="C558" s="182" t="s">
        <v>1319</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294"/>
        <v>0</v>
      </c>
      <c r="G558" s="183"/>
      <c r="H558" s="183">
        <f t="shared" si="295"/>
        <v>0</v>
      </c>
      <c r="I558" s="183"/>
      <c r="J558" s="183">
        <f t="shared" si="296"/>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297"/>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298"/>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299"/>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300"/>
        <v>0</v>
      </c>
      <c r="AR558" s="183">
        <f t="shared" si="301"/>
        <v>0</v>
      </c>
    </row>
    <row r="559" spans="2:44" x14ac:dyDescent="0.25">
      <c r="B559" s="181" t="s">
        <v>1320</v>
      </c>
      <c r="C559" s="182" t="s">
        <v>1321</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294"/>
        <v>0</v>
      </c>
      <c r="G559" s="183"/>
      <c r="H559" s="183">
        <f t="shared" si="295"/>
        <v>0</v>
      </c>
      <c r="I559" s="183"/>
      <c r="J559" s="183">
        <f t="shared" si="296"/>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297"/>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298"/>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299"/>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300"/>
        <v>0</v>
      </c>
      <c r="AR559" s="183">
        <f t="shared" si="301"/>
        <v>0</v>
      </c>
    </row>
    <row r="560" spans="2:44" x14ac:dyDescent="0.25">
      <c r="B560" s="178" t="s">
        <v>1322</v>
      </c>
      <c r="C560" s="179" t="s">
        <v>1323</v>
      </c>
      <c r="D560" s="180">
        <f>SUM(D561:D565)</f>
        <v>0</v>
      </c>
      <c r="E560" s="180">
        <f>SUM(E561:E565)</f>
        <v>0</v>
      </c>
      <c r="F560" s="180">
        <f t="shared" ref="F560:F565" si="302">D560+E560</f>
        <v>0</v>
      </c>
      <c r="G560" s="180">
        <f>SUM(G561:G565)</f>
        <v>0</v>
      </c>
      <c r="H560" s="180">
        <f t="shared" ref="H560:H565" si="303">F560-G560</f>
        <v>0</v>
      </c>
      <c r="I560" s="180">
        <f>SUM(I561:I565)</f>
        <v>0</v>
      </c>
      <c r="J560" s="180">
        <f t="shared" ref="J560:J565" si="304">F560-I560</f>
        <v>0</v>
      </c>
      <c r="K560" s="180">
        <f t="shared" ref="K560:AD560" si="305">SUM(K561:K565)</f>
        <v>0</v>
      </c>
      <c r="L560" s="180">
        <f t="shared" si="305"/>
        <v>0</v>
      </c>
      <c r="M560" s="180">
        <f t="shared" si="305"/>
        <v>0</v>
      </c>
      <c r="N560" s="180">
        <f t="shared" si="305"/>
        <v>0</v>
      </c>
      <c r="O560" s="180">
        <f t="shared" si="305"/>
        <v>0</v>
      </c>
      <c r="P560" s="180">
        <f>SUM(P561:P565)</f>
        <v>0</v>
      </c>
      <c r="Q560" s="180">
        <f>SUM(Q561:Q565)</f>
        <v>0</v>
      </c>
      <c r="R560" s="180">
        <f t="shared" si="305"/>
        <v>0</v>
      </c>
      <c r="S560" s="180">
        <f t="shared" si="305"/>
        <v>0</v>
      </c>
      <c r="T560" s="180">
        <f>SUM(T561:T565)</f>
        <v>0</v>
      </c>
      <c r="U560" s="180">
        <f t="shared" si="305"/>
        <v>0</v>
      </c>
      <c r="V560" s="180">
        <f t="shared" si="305"/>
        <v>0</v>
      </c>
      <c r="W560" s="180">
        <f>SUM(W561:W565)</f>
        <v>0</v>
      </c>
      <c r="X560" s="180">
        <f t="shared" si="305"/>
        <v>0</v>
      </c>
      <c r="Y560" s="180">
        <f>SUM(Y561:Y565)</f>
        <v>0</v>
      </c>
      <c r="Z560" s="180">
        <f>SUM(Z561:Z565)</f>
        <v>0</v>
      </c>
      <c r="AA560" s="180">
        <f t="shared" si="305"/>
        <v>0</v>
      </c>
      <c r="AB560" s="180">
        <f t="shared" si="305"/>
        <v>0</v>
      </c>
      <c r="AC560" s="180">
        <f t="shared" si="305"/>
        <v>0</v>
      </c>
      <c r="AD560" s="180">
        <f t="shared" si="305"/>
        <v>0</v>
      </c>
      <c r="AE560" s="180">
        <f t="shared" ref="AE560:AE565" si="306">AB560+AC560+AD560</f>
        <v>0</v>
      </c>
      <c r="AF560" s="180">
        <f>SUM(AF561:AF565)</f>
        <v>0</v>
      </c>
      <c r="AG560" s="180">
        <f>SUM(AG561:AG565)</f>
        <v>0</v>
      </c>
      <c r="AH560" s="180">
        <f>SUM(AH561:AH565)</f>
        <v>0</v>
      </c>
      <c r="AI560" s="180">
        <f t="shared" ref="AI560:AI565" si="307">AF560+AG560+AH560</f>
        <v>0</v>
      </c>
      <c r="AJ560" s="180">
        <f>SUM(AJ561:AJ565)</f>
        <v>0</v>
      </c>
      <c r="AK560" s="180">
        <f>SUM(AK561:AK565)</f>
        <v>0</v>
      </c>
      <c r="AL560" s="180">
        <f>SUM(AL561:AL565)</f>
        <v>0</v>
      </c>
      <c r="AM560" s="180">
        <f t="shared" ref="AM560:AM565" si="308">AJ560+AK560+AL560</f>
        <v>0</v>
      </c>
      <c r="AN560" s="180">
        <f>SUM(AN561:AN565)</f>
        <v>0</v>
      </c>
      <c r="AO560" s="180">
        <f>SUM(AO561:AO565)</f>
        <v>0</v>
      </c>
      <c r="AP560" s="180">
        <f>SUM(AP561:AP565)</f>
        <v>0</v>
      </c>
      <c r="AQ560" s="180">
        <f t="shared" ref="AQ560:AQ565" si="309">AN560+AO560+AP560</f>
        <v>0</v>
      </c>
      <c r="AR560" s="180">
        <f t="shared" ref="AR560:AR565" si="310">AE560+AI560+AM560+AQ560</f>
        <v>0</v>
      </c>
    </row>
    <row r="561" spans="2:44" x14ac:dyDescent="0.25">
      <c r="B561" s="181" t="s">
        <v>1324</v>
      </c>
      <c r="C561" s="182" t="s">
        <v>1325</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302"/>
        <v>0</v>
      </c>
      <c r="G561" s="183"/>
      <c r="H561" s="183">
        <f t="shared" si="303"/>
        <v>0</v>
      </c>
      <c r="I561" s="183"/>
      <c r="J561" s="183">
        <f t="shared" si="304"/>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306"/>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307"/>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308"/>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309"/>
        <v>0</v>
      </c>
      <c r="AR561" s="183">
        <f t="shared" si="310"/>
        <v>0</v>
      </c>
    </row>
    <row r="562" spans="2:44" x14ac:dyDescent="0.25">
      <c r="B562" s="181" t="s">
        <v>1326</v>
      </c>
      <c r="C562" s="182" t="s">
        <v>1327</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302"/>
        <v>0</v>
      </c>
      <c r="G562" s="183"/>
      <c r="H562" s="183">
        <f t="shared" si="303"/>
        <v>0</v>
      </c>
      <c r="I562" s="183"/>
      <c r="J562" s="183">
        <f t="shared" si="304"/>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306"/>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307"/>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308"/>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309"/>
        <v>0</v>
      </c>
      <c r="AR562" s="183">
        <f t="shared" si="310"/>
        <v>0</v>
      </c>
    </row>
    <row r="563" spans="2:44" x14ac:dyDescent="0.25">
      <c r="B563" s="181" t="s">
        <v>1328</v>
      </c>
      <c r="C563" s="182" t="s">
        <v>1329</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302"/>
        <v>0</v>
      </c>
      <c r="G563" s="183"/>
      <c r="H563" s="183">
        <f t="shared" si="303"/>
        <v>0</v>
      </c>
      <c r="I563" s="183"/>
      <c r="J563" s="183">
        <f t="shared" si="304"/>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306"/>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307"/>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308"/>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309"/>
        <v>0</v>
      </c>
      <c r="AR563" s="183">
        <f t="shared" si="310"/>
        <v>0</v>
      </c>
    </row>
    <row r="564" spans="2:44" x14ac:dyDescent="0.25">
      <c r="B564" s="181" t="s">
        <v>1330</v>
      </c>
      <c r="C564" s="182" t="s">
        <v>1331</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302"/>
        <v>0</v>
      </c>
      <c r="G564" s="183"/>
      <c r="H564" s="183">
        <f t="shared" si="303"/>
        <v>0</v>
      </c>
      <c r="I564" s="183"/>
      <c r="J564" s="183">
        <f t="shared" si="304"/>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306"/>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307"/>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308"/>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309"/>
        <v>0</v>
      </c>
      <c r="AR564" s="183">
        <f t="shared" si="310"/>
        <v>0</v>
      </c>
    </row>
    <row r="565" spans="2:44" x14ac:dyDescent="0.25">
      <c r="B565" s="181" t="s">
        <v>1332</v>
      </c>
      <c r="C565" s="182" t="s">
        <v>1333</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302"/>
        <v>0</v>
      </c>
      <c r="G565" s="183"/>
      <c r="H565" s="183">
        <f t="shared" si="303"/>
        <v>0</v>
      </c>
      <c r="I565" s="183"/>
      <c r="J565" s="183">
        <f t="shared" si="304"/>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306"/>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307"/>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308"/>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309"/>
        <v>0</v>
      </c>
      <c r="AR565" s="183">
        <f t="shared" si="310"/>
        <v>0</v>
      </c>
    </row>
    <row r="566" spans="2:44" ht="26.25" x14ac:dyDescent="0.25">
      <c r="B566" s="184"/>
      <c r="C566" s="185" t="s">
        <v>244</v>
      </c>
      <c r="D566" s="186">
        <f>D12+D106+D222+D327+D397+D499+D526+D560</f>
        <v>1094401.2889999999</v>
      </c>
      <c r="E566" s="186">
        <f>E12+E106+E222+E327+E397+E499+E526+E560</f>
        <v>4041050.3222500002</v>
      </c>
      <c r="F566" s="186">
        <f>D566+E566</f>
        <v>5135451.6112500001</v>
      </c>
      <c r="G566" s="186">
        <f>G12+G106+G222+G327+G397+G499+G526+G560</f>
        <v>0</v>
      </c>
      <c r="H566" s="186">
        <f>F566-G566</f>
        <v>5135451.6112500001</v>
      </c>
      <c r="I566" s="186">
        <f>I12+I106+I222+I327+I397+I499+I526+I560</f>
        <v>0</v>
      </c>
      <c r="J566" s="186">
        <f>F566-I566</f>
        <v>5135451.6112500001</v>
      </c>
      <c r="K566" s="186">
        <f t="shared" ref="K566:AD566" si="311">K12+K106+K222+K327+K397+K499+K526+K560</f>
        <v>0</v>
      </c>
      <c r="L566" s="186">
        <f t="shared" si="311"/>
        <v>0</v>
      </c>
      <c r="M566" s="186">
        <f t="shared" si="311"/>
        <v>0</v>
      </c>
      <c r="N566" s="186">
        <f t="shared" si="311"/>
        <v>0</v>
      </c>
      <c r="O566" s="186">
        <f t="shared" si="311"/>
        <v>0</v>
      </c>
      <c r="P566" s="186">
        <f>P12+P106+P222+P327+P397+P499+P526+P560</f>
        <v>0</v>
      </c>
      <c r="Q566" s="186">
        <f>Q12+Q106+Q222+Q327+Q397+Q499+Q526+Q560</f>
        <v>1092076.2889999999</v>
      </c>
      <c r="R566" s="186">
        <f t="shared" si="311"/>
        <v>0</v>
      </c>
      <c r="S566" s="186">
        <f t="shared" si="311"/>
        <v>0</v>
      </c>
      <c r="T566" s="186">
        <f>T12+T106+T222+T327+T397+T499+T526+T560</f>
        <v>0</v>
      </c>
      <c r="U566" s="186">
        <f t="shared" si="311"/>
        <v>0</v>
      </c>
      <c r="V566" s="186">
        <f t="shared" si="311"/>
        <v>0</v>
      </c>
      <c r="W566" s="186">
        <f>W12+W106+W222+W327+W397+W499+W526+W560</f>
        <v>0</v>
      </c>
      <c r="X566" s="186">
        <f t="shared" si="311"/>
        <v>0</v>
      </c>
      <c r="Y566" s="186">
        <f>Y12+Y106+Y222+Y327+Y397+Y499+Y526+Y560</f>
        <v>2857625.3222500002</v>
      </c>
      <c r="Z566" s="186">
        <f>Z12+Z106+Z222+Z327+Z397+Z499+Z526+Z560</f>
        <v>300000</v>
      </c>
      <c r="AA566" s="186">
        <f t="shared" si="311"/>
        <v>885750</v>
      </c>
      <c r="AB566" s="186">
        <f t="shared" si="311"/>
        <v>0</v>
      </c>
      <c r="AC566" s="186">
        <f t="shared" si="311"/>
        <v>2065425</v>
      </c>
      <c r="AD566" s="186">
        <f t="shared" si="311"/>
        <v>935275</v>
      </c>
      <c r="AE566" s="186">
        <f>AB566+AC566+AD566</f>
        <v>3000700</v>
      </c>
      <c r="AF566" s="186">
        <f>AF12+AF106+AF222+AF327+AF397+AF499+AF526+AF560</f>
        <v>197450</v>
      </c>
      <c r="AG566" s="186">
        <f>AG12+AG106+AG222+AG327+AG397+AG499+AG526+AG560</f>
        <v>111175</v>
      </c>
      <c r="AH566" s="186">
        <f>AH12+AH106+AH222+AH327+AH397+AH499+AH526+AH560</f>
        <v>441675.32224999997</v>
      </c>
      <c r="AI566" s="186">
        <f>AF566+AG566+AH566</f>
        <v>750300.32224999997</v>
      </c>
      <c r="AJ566" s="186">
        <f>AJ12+AJ106+AJ222+AJ327+AJ397+AJ499+AJ526+AJ560</f>
        <v>82000</v>
      </c>
      <c r="AK566" s="186">
        <f>AK12+AK106+AK222+AK327+AK397+AK499+AK526+AK560</f>
        <v>1002725.6444999999</v>
      </c>
      <c r="AL566" s="186">
        <f>AL12+AL106+AL222+AL327+AL397+AL499+AL526+AL560</f>
        <v>95000</v>
      </c>
      <c r="AM566" s="186">
        <f>AJ566+AK566+AL566</f>
        <v>1179725.6444999999</v>
      </c>
      <c r="AN566" s="186">
        <f>AN12+AN106+AN222+AN327+AN397+AN499+AN526+AN560</f>
        <v>182975.64449999999</v>
      </c>
      <c r="AO566" s="186">
        <f>AO12+AO106+AO222+AO327+AO397+AO499+AO526+AO560</f>
        <v>21750</v>
      </c>
      <c r="AP566" s="186">
        <f>AP12+AP106+AP222+AP327+AP397+AP499+AP526+AP560</f>
        <v>0</v>
      </c>
      <c r="AQ566" s="186">
        <f>AN566+AO566+AP566</f>
        <v>204725.64449999999</v>
      </c>
      <c r="AR566" s="186">
        <f>AE566+AI566+AM566+AQ566</f>
        <v>5135451.6112500001</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D170" zoomScale="84" zoomScaleNormal="84" workbookViewId="0">
      <selection activeCell="D71" sqref="D71"/>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26.4257812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x14ac:dyDescent="0.25">
      <c r="A1" s="187" t="s">
        <v>249</v>
      </c>
      <c r="B1" s="190" t="s">
        <v>250</v>
      </c>
      <c r="C1" s="181" t="s">
        <v>251</v>
      </c>
      <c r="D1" s="181" t="s">
        <v>494</v>
      </c>
      <c r="E1" s="181" t="s">
        <v>496</v>
      </c>
      <c r="F1" s="181" t="s">
        <v>498</v>
      </c>
      <c r="G1" s="181" t="s">
        <v>500</v>
      </c>
      <c r="H1" s="181" t="s">
        <v>502</v>
      </c>
      <c r="I1" s="181" t="s">
        <v>504</v>
      </c>
      <c r="J1" s="181" t="s">
        <v>252</v>
      </c>
      <c r="K1" s="181" t="s">
        <v>507</v>
      </c>
      <c r="L1" s="181" t="s">
        <v>253</v>
      </c>
      <c r="M1" s="181" t="s">
        <v>509</v>
      </c>
      <c r="N1" s="181" t="s">
        <v>511</v>
      </c>
      <c r="O1" s="181" t="s">
        <v>513</v>
      </c>
      <c r="P1" s="181" t="s">
        <v>254</v>
      </c>
      <c r="Q1" s="181" t="s">
        <v>514</v>
      </c>
      <c r="R1" s="181" t="s">
        <v>517</v>
      </c>
      <c r="S1" s="181" t="s">
        <v>255</v>
      </c>
      <c r="T1" s="181" t="s">
        <v>519</v>
      </c>
      <c r="U1" s="181" t="s">
        <v>256</v>
      </c>
      <c r="V1" s="181" t="s">
        <v>520</v>
      </c>
      <c r="W1" s="181" t="s">
        <v>521</v>
      </c>
      <c r="X1" s="181" t="s">
        <v>525</v>
      </c>
      <c r="Y1" s="181" t="s">
        <v>272</v>
      </c>
      <c r="Z1" s="181" t="s">
        <v>526</v>
      </c>
      <c r="AA1" s="181" t="s">
        <v>528</v>
      </c>
      <c r="AB1" s="181" t="s">
        <v>530</v>
      </c>
      <c r="AC1" s="181" t="s">
        <v>273</v>
      </c>
      <c r="AD1" s="181" t="s">
        <v>532</v>
      </c>
      <c r="AE1" s="181" t="s">
        <v>534</v>
      </c>
      <c r="AF1" s="181" t="s">
        <v>536</v>
      </c>
      <c r="AG1" s="181" t="s">
        <v>538</v>
      </c>
      <c r="AH1" s="181" t="s">
        <v>248</v>
      </c>
      <c r="AI1" s="181" t="s">
        <v>540</v>
      </c>
      <c r="AJ1" s="190" t="s">
        <v>257</v>
      </c>
      <c r="AK1" s="181" t="s">
        <v>542</v>
      </c>
      <c r="AL1" s="181" t="s">
        <v>258</v>
      </c>
      <c r="AM1" s="181" t="s">
        <v>544</v>
      </c>
      <c r="AN1" s="181" t="s">
        <v>546</v>
      </c>
      <c r="AO1" s="181" t="s">
        <v>259</v>
      </c>
      <c r="AP1" s="181" t="s">
        <v>548</v>
      </c>
      <c r="AQ1" s="181" t="s">
        <v>550</v>
      </c>
      <c r="AR1" s="181" t="s">
        <v>260</v>
      </c>
      <c r="AS1" s="181" t="s">
        <v>551</v>
      </c>
      <c r="AT1" s="181" t="s">
        <v>553</v>
      </c>
      <c r="AU1" s="181" t="s">
        <v>554</v>
      </c>
      <c r="AV1" s="181" t="s">
        <v>555</v>
      </c>
      <c r="AW1" s="181" t="s">
        <v>557</v>
      </c>
      <c r="AX1" s="181" t="s">
        <v>559</v>
      </c>
      <c r="AY1" s="181" t="s">
        <v>560</v>
      </c>
      <c r="AZ1" s="181" t="s">
        <v>261</v>
      </c>
      <c r="BA1" s="181" t="s">
        <v>562</v>
      </c>
      <c r="BB1" s="181" t="s">
        <v>564</v>
      </c>
      <c r="BC1" s="181" t="s">
        <v>566</v>
      </c>
      <c r="BD1" s="181" t="s">
        <v>568</v>
      </c>
      <c r="BE1" s="181" t="s">
        <v>570</v>
      </c>
      <c r="BF1" s="181" t="s">
        <v>572</v>
      </c>
      <c r="BG1" s="181" t="s">
        <v>574</v>
      </c>
      <c r="BH1" s="181" t="s">
        <v>576</v>
      </c>
      <c r="BI1" s="181" t="s">
        <v>274</v>
      </c>
      <c r="BJ1" s="181" t="s">
        <v>578</v>
      </c>
      <c r="BK1" s="181" t="s">
        <v>580</v>
      </c>
      <c r="BL1" s="181" t="s">
        <v>582</v>
      </c>
      <c r="BM1" s="181" t="s">
        <v>584</v>
      </c>
      <c r="BN1" s="181" t="s">
        <v>586</v>
      </c>
      <c r="BO1" s="181" t="s">
        <v>588</v>
      </c>
      <c r="BP1" s="181" t="s">
        <v>590</v>
      </c>
      <c r="BQ1" s="181" t="s">
        <v>592</v>
      </c>
      <c r="BR1" s="181" t="s">
        <v>594</v>
      </c>
      <c r="BS1" s="181" t="s">
        <v>596</v>
      </c>
      <c r="BT1" s="190" t="s">
        <v>262</v>
      </c>
      <c r="BU1" s="181" t="s">
        <v>263</v>
      </c>
      <c r="BV1" s="181" t="s">
        <v>598</v>
      </c>
      <c r="BW1" s="181" t="s">
        <v>264</v>
      </c>
      <c r="BX1" s="181" t="s">
        <v>600</v>
      </c>
      <c r="BY1" s="181" t="s">
        <v>602</v>
      </c>
      <c r="BZ1" s="190" t="s">
        <v>265</v>
      </c>
      <c r="CA1" s="181" t="s">
        <v>266</v>
      </c>
      <c r="CB1" s="181" t="s">
        <v>604</v>
      </c>
      <c r="CC1" s="181" t="s">
        <v>267</v>
      </c>
      <c r="CD1" s="181" t="s">
        <v>606</v>
      </c>
      <c r="CE1" s="181" t="s">
        <v>608</v>
      </c>
      <c r="CF1" s="181" t="s">
        <v>610</v>
      </c>
      <c r="CG1" s="190" t="s">
        <v>268</v>
      </c>
      <c r="CH1" s="181" t="s">
        <v>616</v>
      </c>
      <c r="CI1" s="181" t="s">
        <v>618</v>
      </c>
      <c r="CJ1" s="181" t="s">
        <v>269</v>
      </c>
      <c r="CK1" s="181" t="s">
        <v>612</v>
      </c>
      <c r="CL1" s="181" t="s">
        <v>614</v>
      </c>
      <c r="CM1" s="181" t="s">
        <v>270</v>
      </c>
      <c r="CN1" s="181" t="s">
        <v>620</v>
      </c>
      <c r="CO1" s="181" t="s">
        <v>271</v>
      </c>
      <c r="CP1" s="181" t="s">
        <v>621</v>
      </c>
      <c r="CQ1" s="178" t="s">
        <v>275</v>
      </c>
      <c r="CR1" s="190" t="s">
        <v>276</v>
      </c>
      <c r="CS1" s="181" t="s">
        <v>622</v>
      </c>
      <c r="CT1" s="181" t="s">
        <v>623</v>
      </c>
      <c r="CU1" s="181" t="s">
        <v>625</v>
      </c>
      <c r="CV1" s="181" t="s">
        <v>277</v>
      </c>
      <c r="CW1" s="181" t="s">
        <v>627</v>
      </c>
      <c r="CX1" s="181" t="s">
        <v>629</v>
      </c>
      <c r="CY1" s="181" t="s">
        <v>631</v>
      </c>
      <c r="CZ1" s="181" t="s">
        <v>633</v>
      </c>
      <c r="DA1" s="181" t="s">
        <v>635</v>
      </c>
      <c r="DB1" s="181" t="s">
        <v>637</v>
      </c>
      <c r="DC1" s="190" t="s">
        <v>278</v>
      </c>
      <c r="DD1" s="181" t="s">
        <v>279</v>
      </c>
      <c r="DE1" s="181" t="s">
        <v>639</v>
      </c>
      <c r="DF1" s="181" t="s">
        <v>280</v>
      </c>
      <c r="DG1" s="181" t="s">
        <v>641</v>
      </c>
      <c r="DH1" s="181" t="s">
        <v>643</v>
      </c>
      <c r="DI1" s="181" t="s">
        <v>645</v>
      </c>
      <c r="DJ1" s="181" t="s">
        <v>647</v>
      </c>
      <c r="DK1" s="181" t="s">
        <v>649</v>
      </c>
      <c r="DL1" s="181" t="s">
        <v>651</v>
      </c>
      <c r="DM1" s="181" t="s">
        <v>653</v>
      </c>
      <c r="DN1" s="181" t="s">
        <v>281</v>
      </c>
      <c r="DO1" s="181" t="s">
        <v>655</v>
      </c>
      <c r="DP1" s="181" t="s">
        <v>657</v>
      </c>
      <c r="DQ1" s="181" t="s">
        <v>659</v>
      </c>
      <c r="DR1" s="190" t="s">
        <v>282</v>
      </c>
      <c r="DS1" s="181" t="s">
        <v>661</v>
      </c>
      <c r="DT1" s="181" t="s">
        <v>283</v>
      </c>
      <c r="DU1" s="181" t="s">
        <v>663</v>
      </c>
      <c r="DV1" s="181" t="s">
        <v>284</v>
      </c>
      <c r="DW1" s="181" t="s">
        <v>665</v>
      </c>
      <c r="DX1" s="181" t="s">
        <v>667</v>
      </c>
      <c r="DY1" s="181" t="s">
        <v>669</v>
      </c>
      <c r="DZ1" s="181" t="s">
        <v>671</v>
      </c>
      <c r="EA1" s="181" t="s">
        <v>673</v>
      </c>
      <c r="EB1" s="181" t="s">
        <v>675</v>
      </c>
      <c r="EC1" s="181" t="s">
        <v>677</v>
      </c>
      <c r="ED1" s="181" t="s">
        <v>679</v>
      </c>
      <c r="EE1" s="181" t="s">
        <v>681</v>
      </c>
      <c r="EF1" s="181" t="s">
        <v>683</v>
      </c>
      <c r="EG1" s="181" t="s">
        <v>685</v>
      </c>
      <c r="EH1" s="190" t="s">
        <v>285</v>
      </c>
      <c r="EI1" s="181" t="s">
        <v>687</v>
      </c>
      <c r="EJ1" s="181" t="s">
        <v>286</v>
      </c>
      <c r="EK1" s="181" t="s">
        <v>689</v>
      </c>
      <c r="EL1" s="181" t="s">
        <v>691</v>
      </c>
      <c r="EM1" s="181" t="s">
        <v>287</v>
      </c>
      <c r="EN1" s="181" t="s">
        <v>693</v>
      </c>
      <c r="EO1" s="181" t="s">
        <v>695</v>
      </c>
      <c r="EP1" s="181" t="s">
        <v>288</v>
      </c>
      <c r="EQ1" s="181" t="s">
        <v>697</v>
      </c>
      <c r="ER1" s="181" t="s">
        <v>699</v>
      </c>
      <c r="ES1" s="181" t="s">
        <v>701</v>
      </c>
      <c r="ET1" s="181" t="s">
        <v>289</v>
      </c>
      <c r="EU1" s="181" t="s">
        <v>703</v>
      </c>
      <c r="EV1" s="181" t="s">
        <v>705</v>
      </c>
      <c r="EW1" s="190" t="s">
        <v>290</v>
      </c>
      <c r="EX1" s="181" t="s">
        <v>291</v>
      </c>
      <c r="EY1" s="181" t="s">
        <v>707</v>
      </c>
      <c r="EZ1" s="181" t="s">
        <v>709</v>
      </c>
      <c r="FA1" s="181" t="s">
        <v>711</v>
      </c>
      <c r="FB1" s="181" t="s">
        <v>713</v>
      </c>
      <c r="FC1" s="181" t="s">
        <v>292</v>
      </c>
      <c r="FD1" s="181" t="s">
        <v>715</v>
      </c>
      <c r="FE1" s="181" t="s">
        <v>717</v>
      </c>
      <c r="FF1" s="181" t="s">
        <v>719</v>
      </c>
      <c r="FG1" s="181" t="s">
        <v>721</v>
      </c>
      <c r="FH1" s="181" t="s">
        <v>723</v>
      </c>
      <c r="FI1" s="181" t="s">
        <v>293</v>
      </c>
      <c r="FJ1" s="181" t="s">
        <v>726</v>
      </c>
      <c r="FK1" s="181" t="s">
        <v>294</v>
      </c>
      <c r="FL1" s="181" t="s">
        <v>729</v>
      </c>
      <c r="FM1" s="181" t="s">
        <v>730</v>
      </c>
      <c r="FN1" s="181" t="s">
        <v>732</v>
      </c>
      <c r="FO1" s="181" t="s">
        <v>295</v>
      </c>
      <c r="FP1" s="181" t="s">
        <v>735</v>
      </c>
      <c r="FQ1" s="181" t="s">
        <v>736</v>
      </c>
      <c r="FR1" s="181" t="s">
        <v>738</v>
      </c>
      <c r="FS1" s="181" t="s">
        <v>296</v>
      </c>
      <c r="FT1" s="181" t="s">
        <v>741</v>
      </c>
      <c r="FU1" s="181" t="s">
        <v>743</v>
      </c>
      <c r="FV1" s="181" t="s">
        <v>745</v>
      </c>
      <c r="FW1" s="190" t="s">
        <v>297</v>
      </c>
      <c r="FX1" s="190" t="s">
        <v>298</v>
      </c>
      <c r="FY1" s="181" t="s">
        <v>304</v>
      </c>
      <c r="FZ1" s="181" t="s">
        <v>747</v>
      </c>
      <c r="GA1" s="181" t="s">
        <v>749</v>
      </c>
      <c r="GB1" s="181" t="s">
        <v>751</v>
      </c>
      <c r="GC1" s="181" t="s">
        <v>753</v>
      </c>
      <c r="GD1" s="181" t="s">
        <v>755</v>
      </c>
      <c r="GE1" s="181" t="s">
        <v>757</v>
      </c>
      <c r="GF1" s="190" t="s">
        <v>299</v>
      </c>
      <c r="GG1" s="181" t="s">
        <v>305</v>
      </c>
      <c r="GH1" s="181" t="s">
        <v>759</v>
      </c>
      <c r="GI1" s="181" t="s">
        <v>761</v>
      </c>
      <c r="GJ1" s="181" t="s">
        <v>762</v>
      </c>
      <c r="GK1" s="181" t="s">
        <v>306</v>
      </c>
      <c r="GL1" s="181" t="s">
        <v>765</v>
      </c>
      <c r="GM1" s="181" t="s">
        <v>766</v>
      </c>
      <c r="GN1" s="190" t="s">
        <v>300</v>
      </c>
      <c r="GO1" s="181" t="s">
        <v>301</v>
      </c>
      <c r="GP1" s="181" t="s">
        <v>768</v>
      </c>
      <c r="GQ1" s="181" t="s">
        <v>770</v>
      </c>
      <c r="GR1" s="181" t="s">
        <v>772</v>
      </c>
      <c r="GS1" s="181" t="s">
        <v>774</v>
      </c>
      <c r="GT1" s="181" t="s">
        <v>776</v>
      </c>
      <c r="GU1" s="190" t="s">
        <v>302</v>
      </c>
      <c r="GV1" s="181" t="s">
        <v>303</v>
      </c>
      <c r="GW1" s="181" t="s">
        <v>778</v>
      </c>
      <c r="GX1" s="181" t="s">
        <v>780</v>
      </c>
      <c r="GY1" s="181" t="s">
        <v>782</v>
      </c>
      <c r="GZ1" s="181" t="s">
        <v>784</v>
      </c>
      <c r="HA1" s="181" t="s">
        <v>786</v>
      </c>
      <c r="HB1" s="181" t="s">
        <v>788</v>
      </c>
      <c r="HC1" s="178" t="s">
        <v>307</v>
      </c>
      <c r="HD1" s="190" t="s">
        <v>308</v>
      </c>
      <c r="HE1" s="181" t="s">
        <v>309</v>
      </c>
      <c r="HF1" s="181" t="s">
        <v>790</v>
      </c>
      <c r="HG1" s="181" t="s">
        <v>792</v>
      </c>
      <c r="HH1" s="181" t="s">
        <v>794</v>
      </c>
      <c r="HI1" s="181" t="s">
        <v>796</v>
      </c>
      <c r="HJ1" s="181" t="s">
        <v>310</v>
      </c>
      <c r="HK1" s="181" t="s">
        <v>799</v>
      </c>
      <c r="HL1" s="181" t="s">
        <v>327</v>
      </c>
      <c r="HM1" s="181" t="s">
        <v>837</v>
      </c>
      <c r="HN1" s="181" t="s">
        <v>839</v>
      </c>
      <c r="HO1" s="181" t="s">
        <v>841</v>
      </c>
      <c r="HP1" s="190" t="s">
        <v>311</v>
      </c>
      <c r="HQ1" s="181" t="s">
        <v>801</v>
      </c>
      <c r="HR1" s="181" t="s">
        <v>803</v>
      </c>
      <c r="HS1" s="181" t="s">
        <v>312</v>
      </c>
      <c r="HT1" s="181" t="s">
        <v>806</v>
      </c>
      <c r="HU1" s="181" t="s">
        <v>808</v>
      </c>
      <c r="HV1" s="181" t="s">
        <v>809</v>
      </c>
      <c r="HW1" s="181" t="s">
        <v>811</v>
      </c>
      <c r="HX1" s="190" t="s">
        <v>313</v>
      </c>
      <c r="HY1" s="181" t="s">
        <v>813</v>
      </c>
      <c r="HZ1" s="181" t="s">
        <v>815</v>
      </c>
      <c r="IA1" s="181" t="s">
        <v>817</v>
      </c>
      <c r="IB1" s="181" t="s">
        <v>314</v>
      </c>
      <c r="IC1" s="181" t="s">
        <v>819</v>
      </c>
      <c r="ID1" s="181" t="s">
        <v>821</v>
      </c>
      <c r="IE1" s="181" t="s">
        <v>315</v>
      </c>
      <c r="IF1" s="181" t="s">
        <v>823</v>
      </c>
      <c r="IG1" s="181" t="s">
        <v>825</v>
      </c>
      <c r="IH1" s="181" t="s">
        <v>316</v>
      </c>
      <c r="II1" s="181" t="s">
        <v>827</v>
      </c>
      <c r="IJ1" s="181" t="s">
        <v>829</v>
      </c>
      <c r="IK1" s="181" t="s">
        <v>831</v>
      </c>
      <c r="IL1" s="181" t="s">
        <v>833</v>
      </c>
      <c r="IM1" s="181" t="s">
        <v>317</v>
      </c>
      <c r="IN1" s="181" t="s">
        <v>835</v>
      </c>
      <c r="IO1" s="190" t="s">
        <v>318</v>
      </c>
      <c r="IP1" s="181" t="s">
        <v>843</v>
      </c>
      <c r="IQ1" s="181" t="s">
        <v>845</v>
      </c>
      <c r="IR1" s="181" t="s">
        <v>319</v>
      </c>
      <c r="IS1" s="181" t="s">
        <v>847</v>
      </c>
      <c r="IT1" s="181" t="s">
        <v>849</v>
      </c>
      <c r="IU1" s="181" t="s">
        <v>851</v>
      </c>
      <c r="IV1" s="190" t="s">
        <v>320</v>
      </c>
      <c r="IW1" s="181" t="s">
        <v>853</v>
      </c>
      <c r="IX1" s="181" t="s">
        <v>321</v>
      </c>
      <c r="IY1" s="181" t="s">
        <v>856</v>
      </c>
      <c r="IZ1" s="181" t="s">
        <v>858</v>
      </c>
      <c r="JA1" s="181" t="s">
        <v>860</v>
      </c>
      <c r="JB1" s="181" t="s">
        <v>862</v>
      </c>
      <c r="JC1" s="181" t="s">
        <v>864</v>
      </c>
      <c r="JD1" s="181" t="s">
        <v>866</v>
      </c>
      <c r="JE1" s="181" t="s">
        <v>322</v>
      </c>
      <c r="JF1" s="181" t="s">
        <v>869</v>
      </c>
      <c r="JG1" s="181" t="s">
        <v>871</v>
      </c>
      <c r="JH1" s="181" t="s">
        <v>873</v>
      </c>
      <c r="JI1" s="181" t="s">
        <v>875</v>
      </c>
      <c r="JJ1" s="181" t="s">
        <v>877</v>
      </c>
      <c r="JK1" s="181" t="s">
        <v>879</v>
      </c>
      <c r="JL1" s="181" t="s">
        <v>881</v>
      </c>
      <c r="JM1" s="181" t="s">
        <v>883</v>
      </c>
      <c r="JN1" s="181" t="s">
        <v>323</v>
      </c>
      <c r="JO1" s="181" t="s">
        <v>886</v>
      </c>
      <c r="JP1" s="181" t="s">
        <v>888</v>
      </c>
      <c r="JQ1" s="181" t="s">
        <v>890</v>
      </c>
      <c r="JR1" s="181" t="s">
        <v>892</v>
      </c>
      <c r="JS1" s="181" t="s">
        <v>893</v>
      </c>
      <c r="JT1" s="181" t="s">
        <v>895</v>
      </c>
      <c r="JU1" s="181" t="s">
        <v>897</v>
      </c>
      <c r="JV1" s="181" t="s">
        <v>899</v>
      </c>
      <c r="JW1" s="181" t="s">
        <v>901</v>
      </c>
      <c r="JX1" s="181" t="s">
        <v>903</v>
      </c>
      <c r="JY1" s="181" t="s">
        <v>905</v>
      </c>
      <c r="JZ1" s="181" t="s">
        <v>907</v>
      </c>
      <c r="KA1" s="181" t="s">
        <v>909</v>
      </c>
      <c r="KB1" s="181" t="s">
        <v>911</v>
      </c>
      <c r="KC1" s="181" t="s">
        <v>913</v>
      </c>
      <c r="KD1" s="181" t="s">
        <v>915</v>
      </c>
      <c r="KE1" s="181" t="s">
        <v>917</v>
      </c>
      <c r="KF1" s="181" t="s">
        <v>919</v>
      </c>
      <c r="KG1" s="181" t="s">
        <v>921</v>
      </c>
      <c r="KH1" s="181" t="s">
        <v>923</v>
      </c>
      <c r="KI1" s="181" t="s">
        <v>925</v>
      </c>
      <c r="KJ1" s="181" t="s">
        <v>927</v>
      </c>
      <c r="KK1" s="181" t="s">
        <v>929</v>
      </c>
      <c r="KL1" s="181" t="s">
        <v>931</v>
      </c>
      <c r="KM1" s="181" t="s">
        <v>933</v>
      </c>
      <c r="KN1" s="181" t="s">
        <v>935</v>
      </c>
      <c r="KO1" s="190" t="s">
        <v>324</v>
      </c>
      <c r="KP1" s="181" t="s">
        <v>937</v>
      </c>
      <c r="KQ1" s="181" t="s">
        <v>325</v>
      </c>
      <c r="KR1" s="181" t="s">
        <v>940</v>
      </c>
      <c r="KS1" s="181" t="s">
        <v>942</v>
      </c>
      <c r="KT1" s="181" t="s">
        <v>944</v>
      </c>
      <c r="KU1" s="181" t="s">
        <v>946</v>
      </c>
      <c r="KV1" s="181" t="s">
        <v>326</v>
      </c>
      <c r="KW1" s="181" t="s">
        <v>949</v>
      </c>
      <c r="KX1" s="181" t="s">
        <v>951</v>
      </c>
      <c r="KY1" s="181" t="s">
        <v>953</v>
      </c>
      <c r="KZ1" s="181" t="s">
        <v>955</v>
      </c>
      <c r="LA1" s="181" t="s">
        <v>957</v>
      </c>
      <c r="LB1" s="181" t="s">
        <v>959</v>
      </c>
      <c r="LC1" s="181" t="s">
        <v>961</v>
      </c>
      <c r="LD1" s="178" t="s">
        <v>328</v>
      </c>
      <c r="LE1" s="190" t="s">
        <v>329</v>
      </c>
      <c r="LF1" s="181" t="s">
        <v>330</v>
      </c>
      <c r="LG1" s="181" t="s">
        <v>344</v>
      </c>
      <c r="LH1" s="181" t="s">
        <v>963</v>
      </c>
      <c r="LI1" s="181" t="s">
        <v>965</v>
      </c>
      <c r="LJ1" s="181" t="s">
        <v>967</v>
      </c>
      <c r="LK1" s="181" t="s">
        <v>969</v>
      </c>
      <c r="LL1" s="181" t="s">
        <v>345</v>
      </c>
      <c r="LM1" s="181" t="s">
        <v>971</v>
      </c>
      <c r="LN1" s="181" t="s">
        <v>346</v>
      </c>
      <c r="LO1" s="181" t="s">
        <v>973</v>
      </c>
      <c r="LP1" s="181" t="s">
        <v>331</v>
      </c>
      <c r="LQ1" s="181" t="s">
        <v>975</v>
      </c>
      <c r="LR1" s="181" t="s">
        <v>347</v>
      </c>
      <c r="LS1" s="181" t="s">
        <v>977</v>
      </c>
      <c r="LT1" s="181" t="s">
        <v>979</v>
      </c>
      <c r="LU1" s="181" t="s">
        <v>348</v>
      </c>
      <c r="LV1" s="190" t="s">
        <v>332</v>
      </c>
      <c r="LW1" s="181" t="s">
        <v>333</v>
      </c>
      <c r="LX1" s="181" t="s">
        <v>981</v>
      </c>
      <c r="LY1" s="181" t="s">
        <v>983</v>
      </c>
      <c r="LZ1" s="181" t="s">
        <v>984</v>
      </c>
      <c r="MA1" s="181" t="s">
        <v>986</v>
      </c>
      <c r="MB1" s="181" t="s">
        <v>987</v>
      </c>
      <c r="MC1" s="181" t="s">
        <v>989</v>
      </c>
      <c r="MD1" s="181" t="s">
        <v>991</v>
      </c>
      <c r="ME1" s="181" t="s">
        <v>993</v>
      </c>
      <c r="MF1" s="181" t="s">
        <v>995</v>
      </c>
      <c r="MG1" s="181" t="s">
        <v>334</v>
      </c>
      <c r="MH1" s="181" t="s">
        <v>998</v>
      </c>
      <c r="MI1" s="181" t="s">
        <v>999</v>
      </c>
      <c r="MJ1" s="181" t="s">
        <v>1001</v>
      </c>
      <c r="MK1" s="181" t="s">
        <v>335</v>
      </c>
      <c r="ML1" s="181" t="s">
        <v>1004</v>
      </c>
      <c r="MM1" s="181" t="s">
        <v>1005</v>
      </c>
      <c r="MN1" s="181" t="s">
        <v>1007</v>
      </c>
      <c r="MO1" s="181" t="s">
        <v>1009</v>
      </c>
      <c r="MP1" s="181" t="s">
        <v>336</v>
      </c>
      <c r="MQ1" s="181" t="s">
        <v>1012</v>
      </c>
      <c r="MR1" s="181" t="s">
        <v>1014</v>
      </c>
      <c r="MS1" s="181" t="s">
        <v>1016</v>
      </c>
      <c r="MT1" s="181" t="s">
        <v>1018</v>
      </c>
      <c r="MU1" s="181" t="s">
        <v>337</v>
      </c>
      <c r="MV1" s="181" t="s">
        <v>1021</v>
      </c>
      <c r="MW1" s="181" t="s">
        <v>1023</v>
      </c>
      <c r="MX1" s="181" t="s">
        <v>1025</v>
      </c>
      <c r="MY1" s="181" t="s">
        <v>1027</v>
      </c>
      <c r="MZ1" s="181" t="s">
        <v>1029</v>
      </c>
      <c r="NA1" s="181" t="s">
        <v>1031</v>
      </c>
      <c r="NB1" s="181" t="s">
        <v>1033</v>
      </c>
      <c r="NC1" s="181" t="s">
        <v>1035</v>
      </c>
      <c r="ND1" s="181" t="s">
        <v>1037</v>
      </c>
      <c r="NE1" s="181" t="s">
        <v>1039</v>
      </c>
      <c r="NF1" s="181" t="s">
        <v>1041</v>
      </c>
      <c r="NG1" s="181" t="s">
        <v>1042</v>
      </c>
      <c r="NH1" s="190" t="s">
        <v>338</v>
      </c>
      <c r="NI1" s="181" t="s">
        <v>339</v>
      </c>
      <c r="NJ1" s="181" t="s">
        <v>1044</v>
      </c>
      <c r="NK1" s="181" t="s">
        <v>1046</v>
      </c>
      <c r="NL1" s="181" t="s">
        <v>1048</v>
      </c>
      <c r="NM1" s="181" t="s">
        <v>1050</v>
      </c>
      <c r="NN1" s="190" t="s">
        <v>340</v>
      </c>
      <c r="NO1" s="181" t="s">
        <v>341</v>
      </c>
      <c r="NP1" s="181" t="s">
        <v>1051</v>
      </c>
      <c r="NQ1" s="181" t="s">
        <v>342</v>
      </c>
      <c r="NR1" s="181" t="s">
        <v>1053</v>
      </c>
      <c r="NS1" s="181" t="s">
        <v>1055</v>
      </c>
      <c r="NT1" s="181" t="s">
        <v>343</v>
      </c>
      <c r="NU1" s="181" t="s">
        <v>1057</v>
      </c>
      <c r="NV1" s="178" t="s">
        <v>349</v>
      </c>
      <c r="NW1" s="190" t="s">
        <v>350</v>
      </c>
      <c r="NX1" s="181" t="s">
        <v>351</v>
      </c>
      <c r="NY1" s="181" t="s">
        <v>1060</v>
      </c>
      <c r="NZ1" s="181" t="s">
        <v>1062</v>
      </c>
      <c r="OA1" s="181" t="s">
        <v>352</v>
      </c>
      <c r="OB1" s="181" t="s">
        <v>362</v>
      </c>
      <c r="OC1" s="181" t="s">
        <v>1064</v>
      </c>
      <c r="OD1" s="181" t="s">
        <v>1066</v>
      </c>
      <c r="OE1" s="181" t="s">
        <v>1068</v>
      </c>
      <c r="OF1" s="181" t="s">
        <v>1070</v>
      </c>
      <c r="OG1" s="181" t="s">
        <v>1072</v>
      </c>
      <c r="OH1" s="181" t="s">
        <v>1074</v>
      </c>
      <c r="OI1" s="181" t="s">
        <v>1076</v>
      </c>
      <c r="OJ1" s="181" t="s">
        <v>1078</v>
      </c>
      <c r="OK1" s="181" t="s">
        <v>1080</v>
      </c>
      <c r="OL1" s="181" t="s">
        <v>1082</v>
      </c>
      <c r="OM1" s="181" t="s">
        <v>1084</v>
      </c>
      <c r="ON1" s="181" t="s">
        <v>1086</v>
      </c>
      <c r="OO1" s="181" t="s">
        <v>1088</v>
      </c>
      <c r="OP1" s="181" t="s">
        <v>1090</v>
      </c>
      <c r="OQ1" s="181" t="s">
        <v>1092</v>
      </c>
      <c r="OR1" s="181" t="s">
        <v>1094</v>
      </c>
      <c r="OS1" s="181" t="s">
        <v>1096</v>
      </c>
      <c r="OT1" s="181" t="s">
        <v>1098</v>
      </c>
      <c r="OU1" s="181" t="s">
        <v>1100</v>
      </c>
      <c r="OV1" s="181" t="s">
        <v>1102</v>
      </c>
      <c r="OW1" s="181" t="s">
        <v>1104</v>
      </c>
      <c r="OX1" s="181" t="s">
        <v>1106</v>
      </c>
      <c r="OY1" s="181" t="s">
        <v>363</v>
      </c>
      <c r="OZ1" s="181" t="s">
        <v>1109</v>
      </c>
      <c r="PA1" s="181" t="s">
        <v>1111</v>
      </c>
      <c r="PB1" s="181" t="s">
        <v>1112</v>
      </c>
      <c r="PC1" s="181" t="s">
        <v>1114</v>
      </c>
      <c r="PD1" s="181" t="s">
        <v>1116</v>
      </c>
      <c r="PE1" s="181" t="s">
        <v>1118</v>
      </c>
      <c r="PF1" s="181" t="s">
        <v>1120</v>
      </c>
      <c r="PG1" s="181" t="s">
        <v>1122</v>
      </c>
      <c r="PH1" s="181" t="s">
        <v>1124</v>
      </c>
      <c r="PI1" s="181" t="s">
        <v>1126</v>
      </c>
      <c r="PJ1" s="181" t="s">
        <v>1128</v>
      </c>
      <c r="PK1" s="181" t="s">
        <v>1130</v>
      </c>
      <c r="PL1" s="181" t="s">
        <v>1132</v>
      </c>
      <c r="PM1" s="181" t="s">
        <v>1134</v>
      </c>
      <c r="PN1" s="181" t="s">
        <v>1136</v>
      </c>
      <c r="PO1" s="181" t="s">
        <v>1138</v>
      </c>
      <c r="PP1" s="181" t="s">
        <v>1140</v>
      </c>
      <c r="PQ1" s="181" t="s">
        <v>1142</v>
      </c>
      <c r="PR1" s="181" t="s">
        <v>1144</v>
      </c>
      <c r="PS1" s="181" t="s">
        <v>1146</v>
      </c>
      <c r="PT1" s="181" t="s">
        <v>1148</v>
      </c>
      <c r="PU1" s="181" t="s">
        <v>1150</v>
      </c>
      <c r="PV1" s="181" t="s">
        <v>1152</v>
      </c>
      <c r="PW1" s="181" t="s">
        <v>1154</v>
      </c>
      <c r="PX1" s="181" t="s">
        <v>1156</v>
      </c>
      <c r="PY1" s="181" t="s">
        <v>1158</v>
      </c>
      <c r="PZ1" s="181" t="s">
        <v>353</v>
      </c>
      <c r="QA1" s="181" t="s">
        <v>1160</v>
      </c>
      <c r="QB1" s="181" t="s">
        <v>1162</v>
      </c>
      <c r="QC1" s="181" t="s">
        <v>1164</v>
      </c>
      <c r="QD1" s="181" t="s">
        <v>1166</v>
      </c>
      <c r="QE1" s="181" t="s">
        <v>1168</v>
      </c>
      <c r="QF1" s="190" t="s">
        <v>354</v>
      </c>
      <c r="QG1" s="181" t="s">
        <v>355</v>
      </c>
      <c r="QH1" s="181" t="s">
        <v>1170</v>
      </c>
      <c r="QI1" s="181" t="s">
        <v>1172</v>
      </c>
      <c r="QJ1" s="181" t="s">
        <v>1174</v>
      </c>
      <c r="QK1" s="181" t="s">
        <v>1176</v>
      </c>
      <c r="QL1" s="181" t="s">
        <v>1178</v>
      </c>
      <c r="QM1" s="181" t="s">
        <v>1180</v>
      </c>
      <c r="QN1" s="190" t="s">
        <v>356</v>
      </c>
      <c r="QO1" s="181" t="s">
        <v>1182</v>
      </c>
      <c r="QP1" s="181" t="s">
        <v>357</v>
      </c>
      <c r="QQ1" s="181" t="s">
        <v>364</v>
      </c>
      <c r="QR1" s="181" t="s">
        <v>1184</v>
      </c>
      <c r="QS1" s="181" t="s">
        <v>1186</v>
      </c>
      <c r="QT1" s="181" t="s">
        <v>1188</v>
      </c>
      <c r="QU1" s="181" t="s">
        <v>1190</v>
      </c>
      <c r="QV1" s="181" t="s">
        <v>1192</v>
      </c>
      <c r="QW1" s="181" t="s">
        <v>1194</v>
      </c>
      <c r="QX1" s="181" t="s">
        <v>1196</v>
      </c>
      <c r="QY1" s="181" t="s">
        <v>1198</v>
      </c>
      <c r="QZ1" s="181" t="s">
        <v>1200</v>
      </c>
      <c r="RA1" s="181" t="s">
        <v>1202</v>
      </c>
      <c r="RB1" s="181" t="s">
        <v>1204</v>
      </c>
      <c r="RC1" s="181" t="s">
        <v>1206</v>
      </c>
      <c r="RD1" s="181" t="s">
        <v>1208</v>
      </c>
      <c r="RE1" s="181" t="s">
        <v>1210</v>
      </c>
      <c r="RF1" s="190" t="s">
        <v>358</v>
      </c>
      <c r="RG1" s="181" t="s">
        <v>359</v>
      </c>
      <c r="RH1" s="181" t="s">
        <v>1212</v>
      </c>
      <c r="RI1" s="181" t="s">
        <v>1214</v>
      </c>
      <c r="RJ1" s="190" t="s">
        <v>360</v>
      </c>
      <c r="RK1" s="181" t="s">
        <v>361</v>
      </c>
      <c r="RL1" s="181" t="s">
        <v>1216</v>
      </c>
      <c r="RM1" s="181" t="s">
        <v>1217</v>
      </c>
      <c r="RN1" s="181" t="s">
        <v>1218</v>
      </c>
      <c r="RO1" s="181" t="s">
        <v>1219</v>
      </c>
      <c r="RP1" s="181" t="s">
        <v>1221</v>
      </c>
      <c r="RQ1" s="181" t="s">
        <v>1222</v>
      </c>
      <c r="RR1" s="181" t="s">
        <v>1224</v>
      </c>
      <c r="RS1" s="181" t="s">
        <v>1225</v>
      </c>
      <c r="RT1" s="178" t="s">
        <v>365</v>
      </c>
      <c r="RU1" s="190" t="s">
        <v>366</v>
      </c>
      <c r="RV1" s="181" t="s">
        <v>367</v>
      </c>
      <c r="RW1" s="181" t="s">
        <v>1227</v>
      </c>
      <c r="RX1" s="181" t="s">
        <v>1229</v>
      </c>
      <c r="RY1" s="181" t="s">
        <v>368</v>
      </c>
      <c r="RZ1" s="181" t="s">
        <v>1231</v>
      </c>
      <c r="SA1" s="181" t="s">
        <v>1233</v>
      </c>
      <c r="SB1" s="181" t="s">
        <v>1235</v>
      </c>
      <c r="SC1" s="181" t="s">
        <v>1237</v>
      </c>
      <c r="SD1" s="190" t="s">
        <v>369</v>
      </c>
      <c r="SE1" s="181" t="s">
        <v>370</v>
      </c>
      <c r="SF1" s="181" t="s">
        <v>1239</v>
      </c>
      <c r="SG1" s="181" t="s">
        <v>1241</v>
      </c>
      <c r="SH1" s="181" t="s">
        <v>1243</v>
      </c>
      <c r="SI1" s="181" t="s">
        <v>1245</v>
      </c>
      <c r="SJ1" s="181" t="s">
        <v>1247</v>
      </c>
      <c r="SK1" s="181" t="s">
        <v>1249</v>
      </c>
      <c r="SL1" s="181" t="s">
        <v>1251</v>
      </c>
      <c r="SM1" s="181" t="s">
        <v>1253</v>
      </c>
      <c r="SN1" s="181" t="s">
        <v>1255</v>
      </c>
      <c r="SO1" s="181" t="s">
        <v>1257</v>
      </c>
      <c r="SP1" s="181" t="s">
        <v>1259</v>
      </c>
      <c r="SQ1" s="181" t="s">
        <v>1261</v>
      </c>
      <c r="SR1" s="181" t="s">
        <v>1263</v>
      </c>
      <c r="SS1" s="181" t="s">
        <v>1265</v>
      </c>
      <c r="ST1" s="181" t="s">
        <v>1267</v>
      </c>
      <c r="SU1" s="178" t="s">
        <v>371</v>
      </c>
      <c r="SV1" s="190" t="s">
        <v>372</v>
      </c>
      <c r="SW1" s="181" t="s">
        <v>373</v>
      </c>
      <c r="SX1" s="181" t="s">
        <v>1269</v>
      </c>
      <c r="SY1" s="181" t="s">
        <v>1271</v>
      </c>
      <c r="SZ1" s="181" t="s">
        <v>1273</v>
      </c>
      <c r="TA1" s="181" t="s">
        <v>1275</v>
      </c>
      <c r="TB1" s="181" t="s">
        <v>1277</v>
      </c>
      <c r="TC1" s="181" t="s">
        <v>374</v>
      </c>
      <c r="TD1" s="181" t="s">
        <v>1279</v>
      </c>
      <c r="TE1" s="181" t="s">
        <v>1281</v>
      </c>
      <c r="TF1" s="181" t="s">
        <v>1283</v>
      </c>
      <c r="TG1" s="181" t="s">
        <v>1285</v>
      </c>
      <c r="TH1" s="181" t="s">
        <v>1287</v>
      </c>
      <c r="TI1" s="181" t="s">
        <v>1289</v>
      </c>
      <c r="TJ1" s="190" t="s">
        <v>375</v>
      </c>
      <c r="TK1" s="181" t="s">
        <v>376</v>
      </c>
      <c r="TL1" s="181" t="s">
        <v>377</v>
      </c>
      <c r="TM1" s="181" t="s">
        <v>1291</v>
      </c>
      <c r="TN1" s="181" t="s">
        <v>1293</v>
      </c>
      <c r="TO1" s="181" t="s">
        <v>1294</v>
      </c>
      <c r="TP1" s="181" t="s">
        <v>1296</v>
      </c>
      <c r="TQ1" s="181" t="s">
        <v>1298</v>
      </c>
      <c r="TR1" s="181" t="s">
        <v>1300</v>
      </c>
      <c r="TS1" s="181" t="s">
        <v>1302</v>
      </c>
      <c r="TT1" s="181" t="s">
        <v>1304</v>
      </c>
      <c r="TU1" s="181" t="s">
        <v>1306</v>
      </c>
      <c r="TV1" s="181" t="s">
        <v>1308</v>
      </c>
      <c r="TW1" s="181" t="s">
        <v>1310</v>
      </c>
      <c r="TX1" s="181" t="s">
        <v>1312</v>
      </c>
      <c r="TY1" s="181" t="s">
        <v>1314</v>
      </c>
      <c r="TZ1" s="181" t="s">
        <v>1316</v>
      </c>
      <c r="UA1" s="181" t="s">
        <v>1318</v>
      </c>
      <c r="UB1" s="181" t="s">
        <v>1320</v>
      </c>
      <c r="UC1" s="178" t="s">
        <v>1322</v>
      </c>
      <c r="UD1" s="181" t="s">
        <v>1324</v>
      </c>
      <c r="UE1" s="181" t="s">
        <v>1326</v>
      </c>
      <c r="UF1" s="181" t="s">
        <v>1328</v>
      </c>
      <c r="UG1" s="181" t="s">
        <v>1330</v>
      </c>
      <c r="UH1" s="181" t="s">
        <v>1332</v>
      </c>
      <c r="UI1" s="184"/>
    </row>
    <row r="2" spans="1:555" s="122" customFormat="1" hidden="1" x14ac:dyDescent="0.25">
      <c r="A2" s="122" t="s">
        <v>1355</v>
      </c>
      <c r="B2" s="122" t="s">
        <v>1357</v>
      </c>
      <c r="C2" s="122" t="s">
        <v>469</v>
      </c>
      <c r="D2" s="160" t="s">
        <v>1356</v>
      </c>
      <c r="E2" s="122" t="s">
        <v>1358</v>
      </c>
      <c r="F2" s="122" t="s">
        <v>470</v>
      </c>
      <c r="G2" s="122" t="s">
        <v>1359</v>
      </c>
      <c r="H2" s="160" t="s">
        <v>1360</v>
      </c>
      <c r="I2" s="122" t="s">
        <v>1361</v>
      </c>
      <c r="J2" s="122" t="s">
        <v>1443</v>
      </c>
      <c r="K2" s="122" t="s">
        <v>1362</v>
      </c>
      <c r="L2" s="122" t="s">
        <v>1363</v>
      </c>
      <c r="M2" s="122" t="s">
        <v>1364</v>
      </c>
      <c r="N2" s="122" t="s">
        <v>1365</v>
      </c>
      <c r="O2" s="122" t="s">
        <v>1366</v>
      </c>
      <c r="P2" s="122" t="s">
        <v>1468</v>
      </c>
      <c r="Q2" s="122" t="s">
        <v>1503</v>
      </c>
      <c r="R2" s="459" t="str">
        <f>+Presupuesto!D11</f>
        <v>Recurrente</v>
      </c>
      <c r="S2" s="459" t="str">
        <f>+Presupuesto!E11</f>
        <v>Programa / Proyecto 2017</v>
      </c>
      <c r="U2" s="122" t="s">
        <v>392</v>
      </c>
      <c r="V2" s="122" t="s">
        <v>410</v>
      </c>
      <c r="W2" s="122" t="s">
        <v>393</v>
      </c>
      <c r="X2" s="122" t="s">
        <v>394</v>
      </c>
      <c r="Y2" s="122" t="s">
        <v>395</v>
      </c>
      <c r="Z2" s="122" t="s">
        <v>396</v>
      </c>
      <c r="AA2" s="122" t="s">
        <v>397</v>
      </c>
      <c r="AB2" s="122" t="s">
        <v>398</v>
      </c>
      <c r="AC2" s="122" t="s">
        <v>399</v>
      </c>
      <c r="AD2" s="122" t="s">
        <v>400</v>
      </c>
      <c r="AE2" s="122" t="s">
        <v>401</v>
      </c>
      <c r="AF2" s="122" t="s">
        <v>402</v>
      </c>
      <c r="AH2" s="213" t="s">
        <v>418</v>
      </c>
      <c r="AI2" s="213" t="s">
        <v>419</v>
      </c>
      <c r="AJ2" s="213" t="s">
        <v>420</v>
      </c>
      <c r="AK2" s="213" t="s">
        <v>421</v>
      </c>
      <c r="AL2" s="213" t="s">
        <v>422</v>
      </c>
      <c r="AM2" s="213" t="s">
        <v>425</v>
      </c>
      <c r="AN2" s="213" t="s">
        <v>423</v>
      </c>
      <c r="AO2" s="213" t="s">
        <v>424</v>
      </c>
      <c r="AP2" s="213" t="s">
        <v>426</v>
      </c>
      <c r="AQ2" s="213" t="s">
        <v>427</v>
      </c>
      <c r="AR2" s="213" t="s">
        <v>428</v>
      </c>
      <c r="AS2" s="213" t="s">
        <v>429</v>
      </c>
      <c r="AT2" s="213" t="s">
        <v>430</v>
      </c>
      <c r="AU2" s="213" t="s">
        <v>431</v>
      </c>
      <c r="AV2" s="213" t="s">
        <v>432</v>
      </c>
      <c r="AW2" s="213" t="s">
        <v>433</v>
      </c>
      <c r="AX2" s="213" t="s">
        <v>434</v>
      </c>
      <c r="AY2" s="213" t="s">
        <v>435</v>
      </c>
      <c r="AZ2" s="213" t="s">
        <v>436</v>
      </c>
      <c r="BA2" s="213" t="s">
        <v>437</v>
      </c>
      <c r="BB2" s="213" t="s">
        <v>438</v>
      </c>
      <c r="BC2" s="213" t="s">
        <v>439</v>
      </c>
      <c r="BD2" s="213" t="s">
        <v>440</v>
      </c>
      <c r="BE2" s="213" t="s">
        <v>441</v>
      </c>
      <c r="BF2" s="213" t="s">
        <v>442</v>
      </c>
      <c r="BG2" s="213" t="s">
        <v>443</v>
      </c>
      <c r="BH2" s="213" t="s">
        <v>444</v>
      </c>
      <c r="BI2" s="213" t="s">
        <v>445</v>
      </c>
      <c r="BJ2" s="213" t="s">
        <v>446</v>
      </c>
      <c r="BK2" s="213" t="s">
        <v>447</v>
      </c>
      <c r="BL2" s="213" t="s">
        <v>448</v>
      </c>
      <c r="BM2" s="213" t="s">
        <v>449</v>
      </c>
      <c r="BN2" s="213" t="s">
        <v>450</v>
      </c>
      <c r="BO2" s="213" t="s">
        <v>451</v>
      </c>
      <c r="BP2" s="213" t="s">
        <v>452</v>
      </c>
      <c r="BQ2" s="213" t="s">
        <v>453</v>
      </c>
      <c r="BR2" s="213" t="s">
        <v>454</v>
      </c>
      <c r="BS2" s="213" t="s">
        <v>455</v>
      </c>
      <c r="BT2" s="213" t="s">
        <v>456</v>
      </c>
      <c r="BU2" s="213" t="s">
        <v>457</v>
      </c>
      <c r="BZ2" s="86" t="s">
        <v>480</v>
      </c>
      <c r="CA2" s="86" t="s">
        <v>481</v>
      </c>
      <c r="CB2" s="86" t="s">
        <v>482</v>
      </c>
      <c r="CC2" s="86" t="s">
        <v>483</v>
      </c>
      <c r="CD2" s="86" t="s">
        <v>484</v>
      </c>
      <c r="CE2" s="86" t="s">
        <v>485</v>
      </c>
      <c r="CF2" s="86" t="s">
        <v>486</v>
      </c>
      <c r="CG2" s="86" t="s">
        <v>487</v>
      </c>
      <c r="CH2" s="86" t="s">
        <v>488</v>
      </c>
      <c r="CI2" s="86" t="s">
        <v>489</v>
      </c>
      <c r="CJ2" s="86" t="s">
        <v>490</v>
      </c>
      <c r="CK2" s="86" t="s">
        <v>491</v>
      </c>
      <c r="CL2" s="86" t="s">
        <v>492</v>
      </c>
      <c r="CM2" s="86" t="s">
        <v>493</v>
      </c>
    </row>
    <row r="3" spans="1:555" hidden="1" x14ac:dyDescent="0.2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c r="BZ3" s="302">
        <v>43674.39</v>
      </c>
      <c r="CA3" s="302">
        <v>39703.99</v>
      </c>
      <c r="CB3" s="302">
        <v>35733.589999999997</v>
      </c>
      <c r="CC3" s="302">
        <v>31763.19</v>
      </c>
      <c r="CD3" s="302">
        <v>29777.99</v>
      </c>
      <c r="CE3" s="302">
        <v>27792.79</v>
      </c>
      <c r="CF3" s="302">
        <v>18859.39</v>
      </c>
      <c r="CG3" s="302">
        <v>17866.8</v>
      </c>
      <c r="CH3" s="302">
        <v>13896.4</v>
      </c>
      <c r="CI3" s="302">
        <v>15004.09</v>
      </c>
      <c r="CJ3" s="302">
        <v>13238.9</v>
      </c>
      <c r="CK3" s="302">
        <v>12356.31</v>
      </c>
      <c r="CL3" s="302">
        <v>463.22</v>
      </c>
      <c r="CM3" s="302">
        <v>2007.3</v>
      </c>
    </row>
    <row r="5" spans="1:555" ht="52.5" x14ac:dyDescent="0.25">
      <c r="C5" s="195" t="s">
        <v>126</v>
      </c>
      <c r="D5" s="460">
        <f>SUMIF(C:C,$C$10,D:D)</f>
        <v>1305000</v>
      </c>
      <c r="CA5" s="302"/>
    </row>
    <row r="6" spans="1:555" x14ac:dyDescent="0.25">
      <c r="CA6" s="302"/>
    </row>
    <row r="7" spans="1:555" x14ac:dyDescent="0.25">
      <c r="CA7" s="302"/>
    </row>
    <row r="8" spans="1:555" x14ac:dyDescent="0.25">
      <c r="C8" s="70" t="s">
        <v>54</v>
      </c>
      <c r="D8" s="79"/>
      <c r="E8" s="70"/>
      <c r="F8" s="70"/>
      <c r="G8" s="70"/>
      <c r="H8" s="79"/>
      <c r="I8" s="70"/>
      <c r="J8" s="70"/>
      <c r="CA8" s="302"/>
    </row>
    <row r="9" spans="1:555" ht="15.75" thickBot="1" x14ac:dyDescent="0.3">
      <c r="C9" s="94"/>
      <c r="D9" s="79"/>
      <c r="E9" s="94"/>
      <c r="F9" s="94"/>
      <c r="G9" s="94"/>
      <c r="H9" s="79"/>
      <c r="I9" s="94"/>
      <c r="J9" s="121"/>
      <c r="CA9" s="302"/>
    </row>
    <row r="10" spans="1:555" ht="15.75" thickBot="1" x14ac:dyDescent="0.3">
      <c r="C10" s="69" t="s">
        <v>43</v>
      </c>
      <c r="D10" s="30">
        <f>SUM(G17:G67)</f>
        <v>630000</v>
      </c>
      <c r="E10" s="93"/>
      <c r="F10" s="93"/>
      <c r="G10" s="93"/>
      <c r="H10" s="76"/>
      <c r="I10" s="76"/>
      <c r="J10" s="76"/>
      <c r="K10" s="153"/>
      <c r="CA10" s="302"/>
    </row>
    <row r="11" spans="1:555" x14ac:dyDescent="0.25">
      <c r="B11" s="177"/>
      <c r="D11" s="31"/>
      <c r="E11" s="93"/>
      <c r="F11" s="93"/>
      <c r="G11" s="93"/>
      <c r="H11" s="76"/>
      <c r="I11" s="76"/>
      <c r="J11" s="76"/>
      <c r="K11" s="153"/>
      <c r="CA11" s="302"/>
    </row>
    <row r="12" spans="1:555" x14ac:dyDescent="0.25">
      <c r="B12" s="177"/>
      <c r="D12" s="31"/>
      <c r="E12" s="93"/>
      <c r="F12" s="93"/>
      <c r="G12" s="93"/>
      <c r="H12" s="76"/>
      <c r="I12" s="76"/>
      <c r="J12" s="76"/>
      <c r="K12" s="153"/>
      <c r="CA12" s="302"/>
    </row>
    <row r="13" spans="1:555" ht="15.75" x14ac:dyDescent="0.25">
      <c r="C13" s="202" t="s">
        <v>390</v>
      </c>
      <c r="D13" s="368" t="str">
        <f>'15. Gobernabilidad y Proceso...'!G27</f>
        <v>1.3.7</v>
      </c>
      <c r="E13" s="93"/>
      <c r="F13" s="93"/>
      <c r="G13" s="93"/>
      <c r="H13" s="76"/>
      <c r="I13" s="76"/>
      <c r="J13" s="76"/>
      <c r="K13" s="153"/>
      <c r="CA13" s="302"/>
    </row>
    <row r="14" spans="1:555" ht="18.75" x14ac:dyDescent="0.25">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Proceso...'!$G:$H,2,FALSE),IFERROR(VLOOKUP(D13,'12.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U.'!$G:$H,2,0)))))))))))))))))</f>
        <v>1.2.3 a) Creación de Plazas para Delegaciones nuevas 1.23. b) Contratacion de un psicologo asignado para la Unidad contra el Acoso Sexual</v>
      </c>
      <c r="D14" s="31"/>
      <c r="E14" s="93"/>
      <c r="F14" s="93"/>
      <c r="G14" s="93"/>
      <c r="H14" s="76"/>
      <c r="I14" s="76"/>
      <c r="J14" s="76"/>
      <c r="K14" s="153"/>
      <c r="CA14" s="302"/>
    </row>
    <row r="15" spans="1:555" ht="15.75" thickBot="1" x14ac:dyDescent="0.3">
      <c r="C15" s="94"/>
      <c r="D15" s="31"/>
      <c r="E15" s="93"/>
      <c r="F15" s="93"/>
      <c r="G15" s="93"/>
      <c r="H15" s="76"/>
      <c r="I15" s="76"/>
      <c r="J15" s="76"/>
      <c r="K15" s="153"/>
      <c r="CA15" s="302"/>
    </row>
    <row r="16" spans="1:555" ht="30.75" thickBot="1" x14ac:dyDescent="0.3">
      <c r="C16" s="134" t="s">
        <v>44</v>
      </c>
      <c r="D16" s="138" t="s">
        <v>55</v>
      </c>
      <c r="E16" s="170" t="s">
        <v>56</v>
      </c>
      <c r="F16" s="138" t="s">
        <v>57</v>
      </c>
      <c r="G16" s="135" t="s">
        <v>27</v>
      </c>
      <c r="H16" s="133" t="s">
        <v>129</v>
      </c>
      <c r="I16" s="136" t="s">
        <v>46</v>
      </c>
      <c r="J16" s="136" t="s">
        <v>130</v>
      </c>
      <c r="K16" s="136" t="s">
        <v>408</v>
      </c>
      <c r="L16" s="136" t="s">
        <v>409</v>
      </c>
      <c r="CA16" s="302"/>
    </row>
    <row r="17" spans="3:79" ht="15.75" thickBot="1" x14ac:dyDescent="0.3">
      <c r="C17" s="137" t="s">
        <v>480</v>
      </c>
      <c r="D17" s="199"/>
      <c r="E17" s="152">
        <v>12</v>
      </c>
      <c r="F17" s="303">
        <f>HLOOKUP($C17,$BZ$2:$CM$3,2,0)</f>
        <v>43674.39</v>
      </c>
      <c r="G17" s="113">
        <f>D17*E17*F17</f>
        <v>0</v>
      </c>
      <c r="H17" s="166"/>
      <c r="I17" s="114" t="s">
        <v>494</v>
      </c>
      <c r="J17" s="114" t="str">
        <f>VLOOKUP(I17,Presupuesto!$B$11:$C$565,2,0)</f>
        <v>SUELDOS Y SALARIOS PERMANENTES</v>
      </c>
      <c r="K17" s="218" t="s">
        <v>1503</v>
      </c>
      <c r="L17" s="98" t="s">
        <v>392</v>
      </c>
      <c r="CA17" s="302"/>
    </row>
    <row r="18" spans="3:79" x14ac:dyDescent="0.25">
      <c r="C18" s="171" t="s">
        <v>58</v>
      </c>
      <c r="D18" s="163"/>
      <c r="E18" s="154">
        <v>0</v>
      </c>
      <c r="F18" s="100">
        <f>IF(E17=0,"",(G17/E17)/12*E17)</f>
        <v>0</v>
      </c>
      <c r="G18" s="97">
        <f>F18</f>
        <v>0</v>
      </c>
      <c r="H18" s="164"/>
      <c r="I18" s="116" t="s">
        <v>514</v>
      </c>
      <c r="J18" s="116" t="str">
        <f>VLOOKUP(I18,Presupuesto!$B$11:$C$565,2,0)</f>
        <v>AGUINALDO Y DECIMO CUARTO MES</v>
      </c>
      <c r="K18" s="98" t="str">
        <f t="shared" ref="K18:K49" si="0">$K$17</f>
        <v>Gestión Tecnologías de Información y Comunicación</v>
      </c>
      <c r="L18" s="98" t="s">
        <v>410</v>
      </c>
      <c r="CA18" s="302"/>
    </row>
    <row r="19" spans="3:79" ht="15.75" thickBot="1" x14ac:dyDescent="0.3">
      <c r="C19" s="172" t="s">
        <v>59</v>
      </c>
      <c r="D19" s="163"/>
      <c r="E19" s="154">
        <v>0</v>
      </c>
      <c r="F19" s="117">
        <f>IF(E17&lt;6,"",((E17-6)/12)*(G17/E17))</f>
        <v>0</v>
      </c>
      <c r="G19" s="97">
        <f>F19</f>
        <v>0</v>
      </c>
      <c r="H19" s="164"/>
      <c r="I19" s="101" t="s">
        <v>517</v>
      </c>
      <c r="J19" s="101" t="str">
        <f>VLOOKUP(I19,Presupuesto!$B$11:$C$565,2,0)</f>
        <v>DECIMOCUARTO MES</v>
      </c>
      <c r="K19" s="98" t="str">
        <f t="shared" si="0"/>
        <v>Gestión Tecnologías de Información y Comunicación</v>
      </c>
      <c r="L19" s="98" t="s">
        <v>393</v>
      </c>
      <c r="CA19" s="302"/>
    </row>
    <row r="20" spans="3:79" ht="15.75" thickBot="1" x14ac:dyDescent="0.3">
      <c r="C20" s="137" t="s">
        <v>481</v>
      </c>
      <c r="D20" s="199"/>
      <c r="E20" s="152">
        <v>12</v>
      </c>
      <c r="F20" s="303">
        <f>HLOOKUP($C20,$BZ$2:$CM$3,2,0)</f>
        <v>39703.99</v>
      </c>
      <c r="G20" s="113">
        <f>D20*E20*F20</f>
        <v>0</v>
      </c>
      <c r="H20" s="166"/>
      <c r="I20" s="114" t="s">
        <v>494</v>
      </c>
      <c r="J20" s="114" t="str">
        <f>VLOOKUP(I20,Presupuesto!$B$11:$C$565,2,0)</f>
        <v>SUELDOS Y SALARIOS PERMANENTES</v>
      </c>
      <c r="K20" s="98" t="str">
        <f t="shared" si="0"/>
        <v>Gestión Tecnologías de Información y Comunicación</v>
      </c>
      <c r="L20" s="98" t="s">
        <v>393</v>
      </c>
    </row>
    <row r="21" spans="3:79" x14ac:dyDescent="0.25">
      <c r="C21" s="171" t="s">
        <v>58</v>
      </c>
      <c r="D21" s="163"/>
      <c r="E21" s="154">
        <v>0</v>
      </c>
      <c r="F21" s="100">
        <f>IF(E20=0,"",(G20/E20)/12*E20)</f>
        <v>0</v>
      </c>
      <c r="G21" s="97">
        <f>F21</f>
        <v>0</v>
      </c>
      <c r="H21" s="164"/>
      <c r="I21" s="116" t="s">
        <v>514</v>
      </c>
      <c r="J21" s="116" t="str">
        <f>VLOOKUP(I21,Presupuesto!$B$11:$C$565,2,0)</f>
        <v>AGUINALDO Y DECIMO CUARTO MES</v>
      </c>
      <c r="K21" s="98" t="str">
        <f t="shared" si="0"/>
        <v>Gestión Tecnologías de Información y Comunicación</v>
      </c>
      <c r="L21" s="98" t="s">
        <v>393</v>
      </c>
    </row>
    <row r="22" spans="3:79" ht="15.75" thickBot="1" x14ac:dyDescent="0.3">
      <c r="C22" s="172" t="s">
        <v>59</v>
      </c>
      <c r="D22" s="163"/>
      <c r="E22" s="154">
        <v>0</v>
      </c>
      <c r="F22" s="117">
        <f>IF(E20&lt;6,"",((E20-6)/12)*(G20/E20))</f>
        <v>0</v>
      </c>
      <c r="G22" s="97">
        <f>F22</f>
        <v>0</v>
      </c>
      <c r="H22" s="164"/>
      <c r="I22" s="101" t="s">
        <v>517</v>
      </c>
      <c r="J22" s="101" t="str">
        <f>VLOOKUP(I22,Presupuesto!$B$11:$C$565,2,0)</f>
        <v>DECIMOCUARTO MES</v>
      </c>
      <c r="K22" s="98" t="str">
        <f t="shared" si="0"/>
        <v>Gestión Tecnologías de Información y Comunicación</v>
      </c>
      <c r="L22" s="98" t="s">
        <v>393</v>
      </c>
    </row>
    <row r="23" spans="3:79" ht="15.75" thickBot="1" x14ac:dyDescent="0.3">
      <c r="C23" s="137" t="s">
        <v>482</v>
      </c>
      <c r="D23" s="199"/>
      <c r="E23" s="152">
        <v>12</v>
      </c>
      <c r="F23" s="303">
        <f>HLOOKUP($C23,$BZ$2:$CM$3,2,0)</f>
        <v>35733.589999999997</v>
      </c>
      <c r="G23" s="113">
        <f>D23*E23*F23</f>
        <v>0</v>
      </c>
      <c r="H23" s="166"/>
      <c r="I23" s="114" t="s">
        <v>494</v>
      </c>
      <c r="J23" s="114" t="str">
        <f>VLOOKUP(I23,Presupuesto!$B$11:$C$565,2,0)</f>
        <v>SUELDOS Y SALARIOS PERMANENTES</v>
      </c>
      <c r="K23" s="98" t="str">
        <f t="shared" si="0"/>
        <v>Gestión Tecnologías de Información y Comunicación</v>
      </c>
      <c r="L23" s="98" t="s">
        <v>393</v>
      </c>
    </row>
    <row r="24" spans="3:79" x14ac:dyDescent="0.25">
      <c r="C24" s="171" t="s">
        <v>58</v>
      </c>
      <c r="D24" s="163"/>
      <c r="E24" s="154">
        <v>0</v>
      </c>
      <c r="F24" s="100">
        <f>IF(E23=0,"",(G23/E23)/12*E23)</f>
        <v>0</v>
      </c>
      <c r="G24" s="97">
        <f>F24</f>
        <v>0</v>
      </c>
      <c r="H24" s="164"/>
      <c r="I24" s="116" t="s">
        <v>514</v>
      </c>
      <c r="J24" s="116" t="str">
        <f>VLOOKUP(I24,Presupuesto!$B$11:$C$565,2,0)</f>
        <v>AGUINALDO Y DECIMO CUARTO MES</v>
      </c>
      <c r="K24" s="98" t="str">
        <f t="shared" si="0"/>
        <v>Gestión Tecnologías de Información y Comunicación</v>
      </c>
      <c r="L24" s="98" t="s">
        <v>393</v>
      </c>
    </row>
    <row r="25" spans="3:79" ht="15.75" thickBot="1" x14ac:dyDescent="0.3">
      <c r="C25" s="172" t="s">
        <v>59</v>
      </c>
      <c r="D25" s="163"/>
      <c r="E25" s="154">
        <v>0</v>
      </c>
      <c r="F25" s="117">
        <f>IF(E23&lt;6,"",((E23-6)/12)*(G23/E23))</f>
        <v>0</v>
      </c>
      <c r="G25" s="97">
        <f>F25</f>
        <v>0</v>
      </c>
      <c r="H25" s="164"/>
      <c r="I25" s="101" t="s">
        <v>517</v>
      </c>
      <c r="J25" s="101" t="str">
        <f>VLOOKUP(I25,Presupuesto!$B$11:$C$565,2,0)</f>
        <v>DECIMOCUARTO MES</v>
      </c>
      <c r="K25" s="98" t="str">
        <f t="shared" si="0"/>
        <v>Gestión Tecnologías de Información y Comunicación</v>
      </c>
      <c r="L25" s="98" t="s">
        <v>393</v>
      </c>
    </row>
    <row r="26" spans="3:79" ht="15.75" thickBot="1" x14ac:dyDescent="0.3">
      <c r="C26" s="137" t="s">
        <v>483</v>
      </c>
      <c r="D26" s="199"/>
      <c r="E26" s="152">
        <v>12</v>
      </c>
      <c r="F26" s="303">
        <f>HLOOKUP($C26,$BZ$2:$CM$3,2,0)</f>
        <v>31763.19</v>
      </c>
      <c r="G26" s="113">
        <f>D26*E26*F26</f>
        <v>0</v>
      </c>
      <c r="H26" s="166"/>
      <c r="I26" s="114" t="s">
        <v>494</v>
      </c>
      <c r="J26" s="114" t="str">
        <f>VLOOKUP(I26,Presupuesto!$B$11:$C$565,2,0)</f>
        <v>SUELDOS Y SALARIOS PERMANENTES</v>
      </c>
      <c r="K26" s="98" t="str">
        <f t="shared" si="0"/>
        <v>Gestión Tecnologías de Información y Comunicación</v>
      </c>
      <c r="L26" s="98" t="s">
        <v>393</v>
      </c>
    </row>
    <row r="27" spans="3:79" x14ac:dyDescent="0.25">
      <c r="C27" s="171" t="s">
        <v>58</v>
      </c>
      <c r="D27" s="163"/>
      <c r="E27" s="154">
        <v>0</v>
      </c>
      <c r="F27" s="100">
        <f>IF(E26=0,"",(G26/E26)/12*E26)</f>
        <v>0</v>
      </c>
      <c r="G27" s="97">
        <f>F27</f>
        <v>0</v>
      </c>
      <c r="H27" s="164"/>
      <c r="I27" s="116" t="s">
        <v>514</v>
      </c>
      <c r="J27" s="116" t="str">
        <f>VLOOKUP(I27,Presupuesto!$B$11:$C$565,2,0)</f>
        <v>AGUINALDO Y DECIMO CUARTO MES</v>
      </c>
      <c r="K27" s="98" t="str">
        <f t="shared" si="0"/>
        <v>Gestión Tecnologías de Información y Comunicación</v>
      </c>
      <c r="L27" s="98" t="s">
        <v>393</v>
      </c>
    </row>
    <row r="28" spans="3:79" ht="15.75" thickBot="1" x14ac:dyDescent="0.3">
      <c r="C28" s="172" t="s">
        <v>59</v>
      </c>
      <c r="D28" s="163"/>
      <c r="E28" s="154">
        <v>0</v>
      </c>
      <c r="F28" s="117">
        <f>IF(E26&lt;6,"",((E26-6)/12)*(G26/E26))</f>
        <v>0</v>
      </c>
      <c r="G28" s="97">
        <f>F28</f>
        <v>0</v>
      </c>
      <c r="H28" s="164"/>
      <c r="I28" s="101" t="s">
        <v>517</v>
      </c>
      <c r="J28" s="101" t="str">
        <f>VLOOKUP(I28,Presupuesto!$B$11:$C$565,2,0)</f>
        <v>DECIMOCUARTO MES</v>
      </c>
      <c r="K28" s="98" t="str">
        <f t="shared" si="0"/>
        <v>Gestión Tecnologías de Información y Comunicación</v>
      </c>
      <c r="L28" s="98" t="s">
        <v>393</v>
      </c>
    </row>
    <row r="29" spans="3:79" ht="15.75" thickBot="1" x14ac:dyDescent="0.3">
      <c r="C29" s="137" t="s">
        <v>484</v>
      </c>
      <c r="D29" s="199"/>
      <c r="E29" s="152">
        <v>12</v>
      </c>
      <c r="F29" s="303">
        <f>HLOOKUP($C29,$BZ$2:$CM$3,2,0)</f>
        <v>29777.99</v>
      </c>
      <c r="G29" s="113">
        <f>D29*E29*F29</f>
        <v>0</v>
      </c>
      <c r="H29" s="166"/>
      <c r="I29" s="114" t="s">
        <v>494</v>
      </c>
      <c r="J29" s="114" t="str">
        <f>VLOOKUP(I29,Presupuesto!$B$11:$C$565,2,0)</f>
        <v>SUELDOS Y SALARIOS PERMANENTES</v>
      </c>
      <c r="K29" s="98" t="str">
        <f t="shared" si="0"/>
        <v>Gestión Tecnologías de Información y Comunicación</v>
      </c>
      <c r="L29" s="98" t="s">
        <v>393</v>
      </c>
    </row>
    <row r="30" spans="3:79" x14ac:dyDescent="0.25">
      <c r="C30" s="171" t="s">
        <v>58</v>
      </c>
      <c r="D30" s="163"/>
      <c r="E30" s="154">
        <v>0</v>
      </c>
      <c r="F30" s="100">
        <f>IF(E29=0,"",(G29/E29)/12*E29)</f>
        <v>0</v>
      </c>
      <c r="G30" s="97">
        <f>F30</f>
        <v>0</v>
      </c>
      <c r="H30" s="164"/>
      <c r="I30" s="116" t="s">
        <v>514</v>
      </c>
      <c r="J30" s="116" t="str">
        <f>VLOOKUP(I30,Presupuesto!$B$11:$C$565,2,0)</f>
        <v>AGUINALDO Y DECIMO CUARTO MES</v>
      </c>
      <c r="K30" s="98" t="str">
        <f t="shared" si="0"/>
        <v>Gestión Tecnologías de Información y Comunicación</v>
      </c>
      <c r="L30" s="98" t="s">
        <v>393</v>
      </c>
    </row>
    <row r="31" spans="3:79" ht="15.75" thickBot="1" x14ac:dyDescent="0.3">
      <c r="C31" s="172" t="s">
        <v>59</v>
      </c>
      <c r="D31" s="163"/>
      <c r="E31" s="154">
        <v>0</v>
      </c>
      <c r="F31" s="117">
        <f>IF(E29&lt;6,"",((E29-6)/12)*(G29/E29))</f>
        <v>0</v>
      </c>
      <c r="G31" s="97">
        <f>F31</f>
        <v>0</v>
      </c>
      <c r="H31" s="164"/>
      <c r="I31" s="101" t="s">
        <v>517</v>
      </c>
      <c r="J31" s="101" t="str">
        <f>VLOOKUP(I31,Presupuesto!$B$11:$C$565,2,0)</f>
        <v>DECIMOCUARTO MES</v>
      </c>
      <c r="K31" s="98" t="str">
        <f t="shared" si="0"/>
        <v>Gestión Tecnologías de Información y Comunicación</v>
      </c>
      <c r="L31" s="98" t="s">
        <v>393</v>
      </c>
    </row>
    <row r="32" spans="3:79" ht="15.75" thickBot="1" x14ac:dyDescent="0.3">
      <c r="C32" s="137" t="s">
        <v>485</v>
      </c>
      <c r="D32" s="199"/>
      <c r="E32" s="152">
        <v>12</v>
      </c>
      <c r="F32" s="303">
        <f>HLOOKUP($C32,$BZ$2:$CM$3,2,0)</f>
        <v>27792.79</v>
      </c>
      <c r="G32" s="113">
        <f>D32*E32*F32</f>
        <v>0</v>
      </c>
      <c r="H32" s="166"/>
      <c r="I32" s="114" t="s">
        <v>494</v>
      </c>
      <c r="J32" s="114" t="str">
        <f>VLOOKUP(I32,Presupuesto!$B$11:$C$565,2,0)</f>
        <v>SUELDOS Y SALARIOS PERMANENTES</v>
      </c>
      <c r="K32" s="98" t="str">
        <f t="shared" si="0"/>
        <v>Gestión Tecnologías de Información y Comunicación</v>
      </c>
      <c r="L32" s="98" t="s">
        <v>393</v>
      </c>
    </row>
    <row r="33" spans="3:12" x14ac:dyDescent="0.25">
      <c r="C33" s="171" t="s">
        <v>58</v>
      </c>
      <c r="D33" s="163"/>
      <c r="E33" s="154">
        <v>0</v>
      </c>
      <c r="F33" s="100">
        <f>IF(E32=0,"",(G32/E32)/12*E32)</f>
        <v>0</v>
      </c>
      <c r="G33" s="97">
        <f>F33</f>
        <v>0</v>
      </c>
      <c r="H33" s="164"/>
      <c r="I33" s="116" t="s">
        <v>514</v>
      </c>
      <c r="J33" s="116" t="str">
        <f>VLOOKUP(I33,Presupuesto!$B$11:$C$565,2,0)</f>
        <v>AGUINALDO Y DECIMO CUARTO MES</v>
      </c>
      <c r="K33" s="98" t="str">
        <f t="shared" si="0"/>
        <v>Gestión Tecnologías de Información y Comunicación</v>
      </c>
      <c r="L33" s="98" t="s">
        <v>393</v>
      </c>
    </row>
    <row r="34" spans="3:12" ht="15.75" thickBot="1" x14ac:dyDescent="0.3">
      <c r="C34" s="172" t="s">
        <v>59</v>
      </c>
      <c r="D34" s="163"/>
      <c r="E34" s="154">
        <v>0</v>
      </c>
      <c r="F34" s="117">
        <f>IF(E32&lt;6,"",((E32-6)/12)*(G32/E32))</f>
        <v>0</v>
      </c>
      <c r="G34" s="97">
        <f>F34</f>
        <v>0</v>
      </c>
      <c r="H34" s="164"/>
      <c r="I34" s="101" t="s">
        <v>517</v>
      </c>
      <c r="J34" s="101" t="str">
        <f>VLOOKUP(I34,Presupuesto!$B$11:$C$565,2,0)</f>
        <v>DECIMOCUARTO MES</v>
      </c>
      <c r="K34" s="98" t="str">
        <f t="shared" si="0"/>
        <v>Gestión Tecnologías de Información y Comunicación</v>
      </c>
      <c r="L34" s="98" t="s">
        <v>393</v>
      </c>
    </row>
    <row r="35" spans="3:12" ht="15.75" thickBot="1" x14ac:dyDescent="0.3">
      <c r="C35" s="137" t="s">
        <v>486</v>
      </c>
      <c r="D35" s="199"/>
      <c r="E35" s="152">
        <v>12</v>
      </c>
      <c r="F35" s="303">
        <f>HLOOKUP($C35,$BZ$2:$CM$3,2,0)</f>
        <v>18859.39</v>
      </c>
      <c r="G35" s="113">
        <f>D35*E35*F35</f>
        <v>0</v>
      </c>
      <c r="H35" s="166"/>
      <c r="I35" s="114" t="s">
        <v>494</v>
      </c>
      <c r="J35" s="114" t="str">
        <f>VLOOKUP(I35,Presupuesto!$B$11:$C$565,2,0)</f>
        <v>SUELDOS Y SALARIOS PERMANENTES</v>
      </c>
      <c r="K35" s="98" t="str">
        <f t="shared" si="0"/>
        <v>Gestión Tecnologías de Información y Comunicación</v>
      </c>
      <c r="L35" s="98" t="s">
        <v>393</v>
      </c>
    </row>
    <row r="36" spans="3:12" x14ac:dyDescent="0.25">
      <c r="C36" s="171" t="s">
        <v>58</v>
      </c>
      <c r="D36" s="163"/>
      <c r="E36" s="154">
        <v>0</v>
      </c>
      <c r="F36" s="100">
        <f>IF(E35=0,"",(G35/E35)/12*E35)</f>
        <v>0</v>
      </c>
      <c r="G36" s="97">
        <f>F36</f>
        <v>0</v>
      </c>
      <c r="H36" s="164"/>
      <c r="I36" s="116" t="s">
        <v>514</v>
      </c>
      <c r="J36" s="116" t="str">
        <f>VLOOKUP(I36,Presupuesto!$B$11:$C$565,2,0)</f>
        <v>AGUINALDO Y DECIMO CUARTO MES</v>
      </c>
      <c r="K36" s="98" t="str">
        <f t="shared" si="0"/>
        <v>Gestión Tecnologías de Información y Comunicación</v>
      </c>
      <c r="L36" s="98" t="s">
        <v>393</v>
      </c>
    </row>
    <row r="37" spans="3:12" ht="15.75" thickBot="1" x14ac:dyDescent="0.3">
      <c r="C37" s="172" t="s">
        <v>59</v>
      </c>
      <c r="D37" s="163"/>
      <c r="E37" s="154">
        <v>0</v>
      </c>
      <c r="F37" s="117">
        <f>IF(E35&lt;6,"",((E35-6)/12)*(G35/E35))</f>
        <v>0</v>
      </c>
      <c r="G37" s="97">
        <f>F37</f>
        <v>0</v>
      </c>
      <c r="H37" s="164"/>
      <c r="I37" s="101" t="s">
        <v>517</v>
      </c>
      <c r="J37" s="101" t="str">
        <f>VLOOKUP(I37,Presupuesto!$B$11:$C$565,2,0)</f>
        <v>DECIMOCUARTO MES</v>
      </c>
      <c r="K37" s="98" t="str">
        <f t="shared" si="0"/>
        <v>Gestión Tecnologías de Información y Comunicación</v>
      </c>
      <c r="L37" s="98" t="s">
        <v>393</v>
      </c>
    </row>
    <row r="38" spans="3:12" ht="15.75" thickBot="1" x14ac:dyDescent="0.3">
      <c r="C38" s="137" t="s">
        <v>487</v>
      </c>
      <c r="D38" s="199"/>
      <c r="E38" s="152">
        <v>12</v>
      </c>
      <c r="F38" s="303">
        <f>HLOOKUP($C38,$BZ$2:$CM$3,2,0)</f>
        <v>17866.8</v>
      </c>
      <c r="G38" s="113">
        <f>D38*E38*F38</f>
        <v>0</v>
      </c>
      <c r="H38" s="166"/>
      <c r="I38" s="114" t="s">
        <v>494</v>
      </c>
      <c r="J38" s="114" t="str">
        <f>VLOOKUP(I38,Presupuesto!$B$11:$C$565,2,0)</f>
        <v>SUELDOS Y SALARIOS PERMANENTES</v>
      </c>
      <c r="K38" s="98" t="str">
        <f t="shared" si="0"/>
        <v>Gestión Tecnologías de Información y Comunicación</v>
      </c>
      <c r="L38" s="98" t="s">
        <v>393</v>
      </c>
    </row>
    <row r="39" spans="3:12" x14ac:dyDescent="0.25">
      <c r="C39" s="171" t="s">
        <v>58</v>
      </c>
      <c r="D39" s="163"/>
      <c r="E39" s="154">
        <v>0</v>
      </c>
      <c r="F39" s="100">
        <f>IF(E38=0,"",(G38/E38)/12*E38)</f>
        <v>0</v>
      </c>
      <c r="G39" s="97">
        <f>F39</f>
        <v>0</v>
      </c>
      <c r="H39" s="164"/>
      <c r="I39" s="116" t="s">
        <v>514</v>
      </c>
      <c r="J39" s="116" t="str">
        <f>VLOOKUP(I39,Presupuesto!$B$11:$C$565,2,0)</f>
        <v>AGUINALDO Y DECIMO CUARTO MES</v>
      </c>
      <c r="K39" s="98" t="str">
        <f t="shared" si="0"/>
        <v>Gestión Tecnologías de Información y Comunicación</v>
      </c>
      <c r="L39" s="98" t="s">
        <v>393</v>
      </c>
    </row>
    <row r="40" spans="3:12" ht="15.75" thickBot="1" x14ac:dyDescent="0.3">
      <c r="C40" s="172" t="s">
        <v>59</v>
      </c>
      <c r="D40" s="163"/>
      <c r="E40" s="154">
        <v>0</v>
      </c>
      <c r="F40" s="117">
        <f>IF(E38&lt;6,"",((E38-6)/12)*(G38/E38))</f>
        <v>0</v>
      </c>
      <c r="G40" s="97">
        <f>F40</f>
        <v>0</v>
      </c>
      <c r="H40" s="164"/>
      <c r="I40" s="101" t="s">
        <v>517</v>
      </c>
      <c r="J40" s="101" t="str">
        <f>VLOOKUP(I40,Presupuesto!$B$11:$C$565,2,0)</f>
        <v>DECIMOCUARTO MES</v>
      </c>
      <c r="K40" s="98" t="str">
        <f t="shared" si="0"/>
        <v>Gestión Tecnologías de Información y Comunicación</v>
      </c>
      <c r="L40" s="98" t="s">
        <v>393</v>
      </c>
    </row>
    <row r="41" spans="3:12" ht="15.75" thickBot="1" x14ac:dyDescent="0.3">
      <c r="C41" s="137" t="s">
        <v>488</v>
      </c>
      <c r="D41" s="199"/>
      <c r="E41" s="152">
        <v>12</v>
      </c>
      <c r="F41" s="303">
        <f>HLOOKUP($C41,$BZ$2:$CM$3,2,0)</f>
        <v>13896.4</v>
      </c>
      <c r="G41" s="113">
        <f>D41*E41*F41</f>
        <v>0</v>
      </c>
      <c r="H41" s="166"/>
      <c r="I41" s="114" t="s">
        <v>494</v>
      </c>
      <c r="J41" s="114" t="str">
        <f>VLOOKUP(I41,Presupuesto!$B$11:$C$565,2,0)</f>
        <v>SUELDOS Y SALARIOS PERMANENTES</v>
      </c>
      <c r="K41" s="98" t="str">
        <f t="shared" si="0"/>
        <v>Gestión Tecnologías de Información y Comunicación</v>
      </c>
      <c r="L41" s="98" t="s">
        <v>393</v>
      </c>
    </row>
    <row r="42" spans="3:12" x14ac:dyDescent="0.25">
      <c r="C42" s="171" t="s">
        <v>58</v>
      </c>
      <c r="D42" s="163"/>
      <c r="E42" s="154">
        <v>0</v>
      </c>
      <c r="F42" s="100">
        <f>IF(E41=0,"",(G41/E41)/12*E41)</f>
        <v>0</v>
      </c>
      <c r="G42" s="97">
        <f>F42</f>
        <v>0</v>
      </c>
      <c r="H42" s="164"/>
      <c r="I42" s="116" t="s">
        <v>514</v>
      </c>
      <c r="J42" s="116" t="str">
        <f>VLOOKUP(I42,Presupuesto!$B$11:$C$565,2,0)</f>
        <v>AGUINALDO Y DECIMO CUARTO MES</v>
      </c>
      <c r="K42" s="98" t="str">
        <f t="shared" si="0"/>
        <v>Gestión Tecnologías de Información y Comunicación</v>
      </c>
      <c r="L42" s="98" t="s">
        <v>393</v>
      </c>
    </row>
    <row r="43" spans="3:12" ht="15.75" thickBot="1" x14ac:dyDescent="0.3">
      <c r="C43" s="172" t="s">
        <v>59</v>
      </c>
      <c r="D43" s="163"/>
      <c r="E43" s="154">
        <v>0</v>
      </c>
      <c r="F43" s="117">
        <f>IF(E41&lt;6,"",((E41-6)/12)*(G41/E41))</f>
        <v>0</v>
      </c>
      <c r="G43" s="97">
        <f>F43</f>
        <v>0</v>
      </c>
      <c r="H43" s="164"/>
      <c r="I43" s="101" t="s">
        <v>517</v>
      </c>
      <c r="J43" s="101" t="str">
        <f>VLOOKUP(I43,Presupuesto!$B$11:$C$565,2,0)</f>
        <v>DECIMOCUARTO MES</v>
      </c>
      <c r="K43" s="98" t="str">
        <f t="shared" si="0"/>
        <v>Gestión Tecnologías de Información y Comunicación</v>
      </c>
      <c r="L43" s="98" t="s">
        <v>393</v>
      </c>
    </row>
    <row r="44" spans="3:12" ht="15.75" thickBot="1" x14ac:dyDescent="0.3">
      <c r="C44" s="137" t="s">
        <v>489</v>
      </c>
      <c r="D44" s="199"/>
      <c r="E44" s="152">
        <v>12</v>
      </c>
      <c r="F44" s="303">
        <f>HLOOKUP($C44,$BZ$2:$CM$3,2,0)</f>
        <v>15004.09</v>
      </c>
      <c r="G44" s="113">
        <f>D44*E44*F44</f>
        <v>0</v>
      </c>
      <c r="H44" s="166"/>
      <c r="I44" s="114" t="s">
        <v>494</v>
      </c>
      <c r="J44" s="114" t="str">
        <f>VLOOKUP(I44,Presupuesto!$B$11:$C$565,2,0)</f>
        <v>SUELDOS Y SALARIOS PERMANENTES</v>
      </c>
      <c r="K44" s="98" t="str">
        <f t="shared" si="0"/>
        <v>Gestión Tecnologías de Información y Comunicación</v>
      </c>
      <c r="L44" s="98" t="s">
        <v>393</v>
      </c>
    </row>
    <row r="45" spans="3:12" x14ac:dyDescent="0.25">
      <c r="C45" s="171" t="s">
        <v>58</v>
      </c>
      <c r="D45" s="163"/>
      <c r="E45" s="154">
        <v>0</v>
      </c>
      <c r="F45" s="100">
        <f>IF(E44=0,"",(G44/E44)/12*E44)</f>
        <v>0</v>
      </c>
      <c r="G45" s="97">
        <f>F45</f>
        <v>0</v>
      </c>
      <c r="H45" s="164"/>
      <c r="I45" s="116" t="s">
        <v>514</v>
      </c>
      <c r="J45" s="116" t="str">
        <f>VLOOKUP(I45,Presupuesto!$B$11:$C$565,2,0)</f>
        <v>AGUINALDO Y DECIMO CUARTO MES</v>
      </c>
      <c r="K45" s="98" t="str">
        <f t="shared" si="0"/>
        <v>Gestión Tecnologías de Información y Comunicación</v>
      </c>
      <c r="L45" s="98" t="s">
        <v>393</v>
      </c>
    </row>
    <row r="46" spans="3:12" ht="15.75" thickBot="1" x14ac:dyDescent="0.3">
      <c r="C46" s="172" t="s">
        <v>59</v>
      </c>
      <c r="D46" s="163"/>
      <c r="E46" s="154">
        <v>0</v>
      </c>
      <c r="F46" s="117">
        <f>IF(E44&lt;6,"",((E44-6)/12)*(G44/E44))</f>
        <v>0</v>
      </c>
      <c r="G46" s="97">
        <f>F46</f>
        <v>0</v>
      </c>
      <c r="H46" s="164"/>
      <c r="I46" s="101" t="s">
        <v>517</v>
      </c>
      <c r="J46" s="101" t="str">
        <f>VLOOKUP(I46,Presupuesto!$B$11:$C$565,2,0)</f>
        <v>DECIMOCUARTO MES</v>
      </c>
      <c r="K46" s="98" t="str">
        <f t="shared" si="0"/>
        <v>Gestión Tecnologías de Información y Comunicación</v>
      </c>
      <c r="L46" s="98" t="s">
        <v>393</v>
      </c>
    </row>
    <row r="47" spans="3:12" ht="15.75" thickBot="1" x14ac:dyDescent="0.3">
      <c r="C47" s="137" t="s">
        <v>490</v>
      </c>
      <c r="D47" s="199"/>
      <c r="E47" s="152">
        <v>12</v>
      </c>
      <c r="F47" s="303">
        <f>HLOOKUP($C47,$BZ$2:$CM$3,2,0)</f>
        <v>13238.9</v>
      </c>
      <c r="G47" s="113">
        <f>D47*E47*F47</f>
        <v>0</v>
      </c>
      <c r="H47" s="166"/>
      <c r="I47" s="114" t="s">
        <v>494</v>
      </c>
      <c r="J47" s="114" t="str">
        <f>VLOOKUP(I47,Presupuesto!$B$11:$C$565,2,0)</f>
        <v>SUELDOS Y SALARIOS PERMANENTES</v>
      </c>
      <c r="K47" s="98" t="str">
        <f t="shared" si="0"/>
        <v>Gestión Tecnologías de Información y Comunicación</v>
      </c>
      <c r="L47" s="98" t="s">
        <v>393</v>
      </c>
    </row>
    <row r="48" spans="3:12" x14ac:dyDescent="0.25">
      <c r="C48" s="171" t="s">
        <v>58</v>
      </c>
      <c r="D48" s="163"/>
      <c r="E48" s="154">
        <v>0</v>
      </c>
      <c r="F48" s="100">
        <f>IF(E47=0,"",(G47/E47)/12*E47)</f>
        <v>0</v>
      </c>
      <c r="G48" s="97">
        <f>F48</f>
        <v>0</v>
      </c>
      <c r="H48" s="164"/>
      <c r="I48" s="116" t="s">
        <v>514</v>
      </c>
      <c r="J48" s="116" t="str">
        <f>VLOOKUP(I48,Presupuesto!$B$11:$C$565,2,0)</f>
        <v>AGUINALDO Y DECIMO CUARTO MES</v>
      </c>
      <c r="K48" s="98" t="str">
        <f t="shared" si="0"/>
        <v>Gestión Tecnologías de Información y Comunicación</v>
      </c>
      <c r="L48" s="98" t="s">
        <v>393</v>
      </c>
    </row>
    <row r="49" spans="3:12" ht="15.75" thickBot="1" x14ac:dyDescent="0.3">
      <c r="C49" s="172" t="s">
        <v>59</v>
      </c>
      <c r="D49" s="163"/>
      <c r="E49" s="154">
        <v>0</v>
      </c>
      <c r="F49" s="117">
        <f>IF(E47&lt;6,"",((E47-6)/12)*(G47/E47))</f>
        <v>0</v>
      </c>
      <c r="G49" s="97">
        <f>F49</f>
        <v>0</v>
      </c>
      <c r="H49" s="164"/>
      <c r="I49" s="101" t="s">
        <v>517</v>
      </c>
      <c r="J49" s="101" t="str">
        <f>VLOOKUP(I49,Presupuesto!$B$11:$C$565,2,0)</f>
        <v>DECIMOCUARTO MES</v>
      </c>
      <c r="K49" s="98" t="str">
        <f t="shared" si="0"/>
        <v>Gestión Tecnologías de Información y Comunicación</v>
      </c>
      <c r="L49" s="98" t="s">
        <v>393</v>
      </c>
    </row>
    <row r="50" spans="3:12" ht="15.75" thickBot="1" x14ac:dyDescent="0.3">
      <c r="C50" s="137" t="s">
        <v>491</v>
      </c>
      <c r="D50" s="199"/>
      <c r="E50" s="152">
        <v>12</v>
      </c>
      <c r="F50" s="303">
        <f>HLOOKUP($C50,$BZ$2:$CM$3,2,0)</f>
        <v>12356.31</v>
      </c>
      <c r="G50" s="113">
        <f>D50*E50*F50</f>
        <v>0</v>
      </c>
      <c r="H50" s="166"/>
      <c r="I50" s="114" t="s">
        <v>494</v>
      </c>
      <c r="J50" s="114" t="str">
        <f>VLOOKUP(I50,Presupuesto!$B$11:$C$565,2,0)</f>
        <v>SUELDOS Y SALARIOS PERMANENTES</v>
      </c>
      <c r="K50" s="98" t="str">
        <f t="shared" ref="K50:K64" si="1">$K$17</f>
        <v>Gestión Tecnologías de Información y Comunicación</v>
      </c>
      <c r="L50" s="98" t="s">
        <v>393</v>
      </c>
    </row>
    <row r="51" spans="3:12" x14ac:dyDescent="0.25">
      <c r="C51" s="171" t="s">
        <v>58</v>
      </c>
      <c r="D51" s="163"/>
      <c r="E51" s="154">
        <v>0</v>
      </c>
      <c r="F51" s="100">
        <f>IF(E50=0,"",(G50/E50)/12*E50)</f>
        <v>0</v>
      </c>
      <c r="G51" s="97">
        <f>F51</f>
        <v>0</v>
      </c>
      <c r="H51" s="164"/>
      <c r="I51" s="116" t="s">
        <v>514</v>
      </c>
      <c r="J51" s="116" t="str">
        <f>VLOOKUP(I51,Presupuesto!$B$11:$C$565,2,0)</f>
        <v>AGUINALDO Y DECIMO CUARTO MES</v>
      </c>
      <c r="K51" s="98" t="str">
        <f t="shared" si="1"/>
        <v>Gestión Tecnologías de Información y Comunicación</v>
      </c>
      <c r="L51" s="98" t="s">
        <v>393</v>
      </c>
    </row>
    <row r="52" spans="3:12" ht="15.75" thickBot="1" x14ac:dyDescent="0.3">
      <c r="C52" s="172" t="s">
        <v>59</v>
      </c>
      <c r="D52" s="163"/>
      <c r="E52" s="154">
        <v>0</v>
      </c>
      <c r="F52" s="117">
        <f>IF(E50&lt;6,"",((E50-6)/12)*(G50/E50))</f>
        <v>0</v>
      </c>
      <c r="G52" s="97">
        <f>F52</f>
        <v>0</v>
      </c>
      <c r="H52" s="164"/>
      <c r="I52" s="101" t="s">
        <v>517</v>
      </c>
      <c r="J52" s="101" t="str">
        <f>VLOOKUP(I52,Presupuesto!$B$11:$C$565,2,0)</f>
        <v>DECIMOCUARTO MES</v>
      </c>
      <c r="K52" s="98" t="str">
        <f t="shared" si="1"/>
        <v>Gestión Tecnologías de Información y Comunicación</v>
      </c>
      <c r="L52" s="98" t="s">
        <v>393</v>
      </c>
    </row>
    <row r="53" spans="3:12" ht="15.75" thickBot="1" x14ac:dyDescent="0.3">
      <c r="C53" s="137" t="s">
        <v>492</v>
      </c>
      <c r="D53" s="199"/>
      <c r="E53" s="152">
        <v>12</v>
      </c>
      <c r="F53" s="303">
        <f>HLOOKUP($C53,$BZ$2:$CM$3,2,0)</f>
        <v>463.22</v>
      </c>
      <c r="G53" s="113">
        <f>D53*E53*F53</f>
        <v>0</v>
      </c>
      <c r="H53" s="166"/>
      <c r="I53" s="114" t="s">
        <v>494</v>
      </c>
      <c r="J53" s="114" t="str">
        <f>VLOOKUP(I53,Presupuesto!$B$11:$C$565,2,0)</f>
        <v>SUELDOS Y SALARIOS PERMANENTES</v>
      </c>
      <c r="K53" s="98" t="str">
        <f t="shared" si="1"/>
        <v>Gestión Tecnologías de Información y Comunicación</v>
      </c>
      <c r="L53" s="98" t="s">
        <v>393</v>
      </c>
    </row>
    <row r="54" spans="3:12" x14ac:dyDescent="0.25">
      <c r="C54" s="171" t="s">
        <v>58</v>
      </c>
      <c r="D54" s="163"/>
      <c r="E54" s="154">
        <v>0</v>
      </c>
      <c r="F54" s="100">
        <f>IF(E53=0,"",(G53/E53)/12*E53)</f>
        <v>0</v>
      </c>
      <c r="G54" s="97">
        <f>F54</f>
        <v>0</v>
      </c>
      <c r="H54" s="164"/>
      <c r="I54" s="116" t="s">
        <v>514</v>
      </c>
      <c r="J54" s="116" t="str">
        <f>VLOOKUP(I54,Presupuesto!$B$11:$C$565,2,0)</f>
        <v>AGUINALDO Y DECIMO CUARTO MES</v>
      </c>
      <c r="K54" s="98" t="str">
        <f t="shared" si="1"/>
        <v>Gestión Tecnologías de Información y Comunicación</v>
      </c>
      <c r="L54" s="98" t="s">
        <v>393</v>
      </c>
    </row>
    <row r="55" spans="3:12" ht="15.75" thickBot="1" x14ac:dyDescent="0.3">
      <c r="C55" s="172" t="s">
        <v>59</v>
      </c>
      <c r="D55" s="163"/>
      <c r="E55" s="154">
        <v>0</v>
      </c>
      <c r="F55" s="117">
        <f>IF(E53&lt;6,"",((E53-6)/12)*(G53/E53))</f>
        <v>0</v>
      </c>
      <c r="G55" s="97">
        <f>F55</f>
        <v>0</v>
      </c>
      <c r="H55" s="164"/>
      <c r="I55" s="101" t="s">
        <v>517</v>
      </c>
      <c r="J55" s="101" t="str">
        <f>VLOOKUP(I55,Presupuesto!$B$11:$C$565,2,0)</f>
        <v>DECIMOCUARTO MES</v>
      </c>
      <c r="K55" s="98" t="str">
        <f t="shared" si="1"/>
        <v>Gestión Tecnologías de Información y Comunicación</v>
      </c>
      <c r="L55" s="98" t="s">
        <v>393</v>
      </c>
    </row>
    <row r="56" spans="3:12" ht="15.75" thickBot="1" x14ac:dyDescent="0.3">
      <c r="C56" s="137" t="s">
        <v>493</v>
      </c>
      <c r="D56" s="199"/>
      <c r="E56" s="152">
        <v>12</v>
      </c>
      <c r="F56" s="303">
        <f>HLOOKUP($C56,$BZ$2:$CM$3,2,0)</f>
        <v>2007.3</v>
      </c>
      <c r="G56" s="113">
        <f>D56*E56*F56</f>
        <v>0</v>
      </c>
      <c r="H56" s="166"/>
      <c r="I56" s="114" t="s">
        <v>494</v>
      </c>
      <c r="J56" s="114" t="str">
        <f>VLOOKUP(I56,Presupuesto!$B$11:$C$565,2,0)</f>
        <v>SUELDOS Y SALARIOS PERMANENTES</v>
      </c>
      <c r="K56" s="98" t="str">
        <f t="shared" si="1"/>
        <v>Gestión Tecnologías de Información y Comunicación</v>
      </c>
      <c r="L56" s="98" t="s">
        <v>393</v>
      </c>
    </row>
    <row r="57" spans="3:12" x14ac:dyDescent="0.25">
      <c r="C57" s="171" t="s">
        <v>58</v>
      </c>
      <c r="D57" s="163"/>
      <c r="E57" s="154">
        <v>0</v>
      </c>
      <c r="F57" s="100">
        <f>IF(E56=0,"",(G56/E56)/12*E56)</f>
        <v>0</v>
      </c>
      <c r="G57" s="97">
        <f>F57</f>
        <v>0</v>
      </c>
      <c r="H57" s="164"/>
      <c r="I57" s="116" t="s">
        <v>514</v>
      </c>
      <c r="J57" s="116" t="str">
        <f>VLOOKUP(I57,Presupuesto!$B$11:$C$565,2,0)</f>
        <v>AGUINALDO Y DECIMO CUARTO MES</v>
      </c>
      <c r="K57" s="98" t="str">
        <f t="shared" si="1"/>
        <v>Gestión Tecnologías de Información y Comunicación</v>
      </c>
      <c r="L57" s="98" t="s">
        <v>393</v>
      </c>
    </row>
    <row r="58" spans="3:12" ht="15.75" thickBot="1" x14ac:dyDescent="0.3">
      <c r="C58" s="172" t="s">
        <v>59</v>
      </c>
      <c r="D58" s="163"/>
      <c r="E58" s="154">
        <v>0</v>
      </c>
      <c r="F58" s="117">
        <f>IF(E56&lt;6,"",((E56-6)/12)*(G56/E56))</f>
        <v>0</v>
      </c>
      <c r="G58" s="97">
        <f>F58</f>
        <v>0</v>
      </c>
      <c r="H58" s="164"/>
      <c r="I58" s="101" t="s">
        <v>517</v>
      </c>
      <c r="J58" s="101" t="str">
        <f>VLOOKUP(I58,Presupuesto!$B$11:$C$565,2,0)</f>
        <v>DECIMOCUARTO MES</v>
      </c>
      <c r="K58" s="98" t="str">
        <f t="shared" si="1"/>
        <v>Gestión Tecnologías de Información y Comunicación</v>
      </c>
      <c r="L58" s="98" t="s">
        <v>393</v>
      </c>
    </row>
    <row r="59" spans="3:12" ht="15.75" thickBot="1" x14ac:dyDescent="0.3">
      <c r="C59" s="140" t="s">
        <v>83</v>
      </c>
      <c r="D59" s="199"/>
      <c r="E59" s="152">
        <v>12</v>
      </c>
      <c r="F59" s="139">
        <v>30000</v>
      </c>
      <c r="G59" s="113">
        <f>D59*E59*F59</f>
        <v>0</v>
      </c>
      <c r="H59" s="166"/>
      <c r="I59" s="114" t="s">
        <v>562</v>
      </c>
      <c r="J59" s="114" t="str">
        <f>VLOOKUP(I59,Presupuesto!$B$11:$C$565,2,0)</f>
        <v>CONTRATOS ESPECIALES</v>
      </c>
      <c r="K59" s="98" t="str">
        <f t="shared" si="1"/>
        <v>Gestión Tecnologías de Información y Comunicación</v>
      </c>
      <c r="L59" s="98" t="s">
        <v>393</v>
      </c>
    </row>
    <row r="60" spans="3:12" x14ac:dyDescent="0.25">
      <c r="C60" s="171" t="s">
        <v>58</v>
      </c>
      <c r="D60" s="163"/>
      <c r="E60" s="154">
        <v>0</v>
      </c>
      <c r="F60" s="117">
        <f>IF(E59=0,"",(G59/E59)/12*E59)</f>
        <v>0</v>
      </c>
      <c r="G60" s="97">
        <f>F60</f>
        <v>0</v>
      </c>
      <c r="H60" s="164"/>
      <c r="I60" s="101" t="s">
        <v>562</v>
      </c>
      <c r="J60" s="101" t="str">
        <f>VLOOKUP(I60,Presupuesto!$B$11:$C$565,2,0)</f>
        <v>CONTRATOS ESPECIALES</v>
      </c>
      <c r="K60" s="98" t="str">
        <f t="shared" si="1"/>
        <v>Gestión Tecnologías de Información y Comunicación</v>
      </c>
      <c r="L60" s="98" t="s">
        <v>392</v>
      </c>
    </row>
    <row r="61" spans="3:12" ht="15.75" thickBot="1" x14ac:dyDescent="0.3">
      <c r="C61" s="172" t="s">
        <v>59</v>
      </c>
      <c r="D61" s="163"/>
      <c r="E61" s="154">
        <v>0</v>
      </c>
      <c r="F61" s="100">
        <f>IF(E59&lt;6,"",((E59-6)/12)*(G59/E59))</f>
        <v>0</v>
      </c>
      <c r="G61" s="97">
        <f>F61</f>
        <v>0</v>
      </c>
      <c r="H61" s="164"/>
      <c r="I61" s="101" t="s">
        <v>562</v>
      </c>
      <c r="J61" s="101" t="str">
        <f>VLOOKUP(I61,Presupuesto!$B$11:$C$565,2,0)</f>
        <v>CONTRATOS ESPECIALES</v>
      </c>
      <c r="K61" s="98" t="str">
        <f t="shared" si="1"/>
        <v>Gestión Tecnologías de Información y Comunicación</v>
      </c>
      <c r="L61" s="98" t="s">
        <v>397</v>
      </c>
    </row>
    <row r="62" spans="3:12" ht="15.75" thickBot="1" x14ac:dyDescent="0.3">
      <c r="C62" s="140" t="s">
        <v>60</v>
      </c>
      <c r="D62" s="199"/>
      <c r="E62" s="152">
        <v>12</v>
      </c>
      <c r="F62" s="118">
        <v>30000</v>
      </c>
      <c r="G62" s="113">
        <f>D62*E62*F62</f>
        <v>0</v>
      </c>
      <c r="H62" s="166"/>
      <c r="I62" s="114" t="s">
        <v>703</v>
      </c>
      <c r="J62" s="114" t="str">
        <f>VLOOKUP(I62,Presupuesto!$B$11:$C$565,2,0)</f>
        <v>OTROS SERVICIOS TECNICOS Y PROFESIONALES</v>
      </c>
      <c r="K62" s="98" t="str">
        <f t="shared" si="1"/>
        <v>Gestión Tecnologías de Información y Comunicación</v>
      </c>
      <c r="L62" s="98" t="s">
        <v>392</v>
      </c>
    </row>
    <row r="63" spans="3:12" x14ac:dyDescent="0.25">
      <c r="C63" s="171" t="s">
        <v>58</v>
      </c>
      <c r="D63" s="163"/>
      <c r="E63" s="154">
        <v>0</v>
      </c>
      <c r="F63" s="100">
        <v>0</v>
      </c>
      <c r="G63" s="97">
        <f>F63</f>
        <v>0</v>
      </c>
      <c r="H63" s="164"/>
      <c r="I63" s="101" t="s">
        <v>703</v>
      </c>
      <c r="J63" s="101" t="str">
        <f>VLOOKUP(I63,Presupuesto!$B$11:$C$565,2,0)</f>
        <v>OTROS SERVICIOS TECNICOS Y PROFESIONALES</v>
      </c>
      <c r="K63" s="98" t="str">
        <f t="shared" si="1"/>
        <v>Gestión Tecnologías de Información y Comunicación</v>
      </c>
      <c r="L63" s="98" t="s">
        <v>392</v>
      </c>
    </row>
    <row r="64" spans="3:12" ht="15.75" thickBot="1" x14ac:dyDescent="0.3">
      <c r="C64" s="172" t="s">
        <v>59</v>
      </c>
      <c r="D64" s="163"/>
      <c r="E64" s="154">
        <v>0</v>
      </c>
      <c r="F64" s="100">
        <v>0</v>
      </c>
      <c r="G64" s="97">
        <f>F64</f>
        <v>0</v>
      </c>
      <c r="H64" s="164"/>
      <c r="I64" s="101" t="s">
        <v>703</v>
      </c>
      <c r="J64" s="101" t="str">
        <f>VLOOKUP(I64,Presupuesto!$B$11:$C$565,2,0)</f>
        <v>OTROS SERVICIOS TECNICOS Y PROFESIONALES</v>
      </c>
      <c r="K64" s="98" t="str">
        <f t="shared" si="1"/>
        <v>Gestión Tecnologías de Información y Comunicación</v>
      </c>
      <c r="L64" s="98" t="s">
        <v>392</v>
      </c>
    </row>
    <row r="65" spans="3:12" ht="15.75" thickBot="1" x14ac:dyDescent="0.3">
      <c r="C65" s="140" t="s">
        <v>61</v>
      </c>
      <c r="D65" s="199">
        <v>2</v>
      </c>
      <c r="E65" s="630">
        <v>12</v>
      </c>
      <c r="F65" s="118">
        <v>21000</v>
      </c>
      <c r="G65" s="621">
        <f>D65*E65*F65</f>
        <v>504000</v>
      </c>
      <c r="H65" s="166" t="s">
        <v>1675</v>
      </c>
      <c r="I65" s="114" t="s">
        <v>494</v>
      </c>
      <c r="J65" s="114" t="str">
        <f>VLOOKUP(I65,Presupuesto!$B$11:$C$565,2,0)</f>
        <v>SUELDOS Y SALARIOS PERMANENTES</v>
      </c>
      <c r="K65" s="98" t="s">
        <v>1366</v>
      </c>
      <c r="L65" s="98" t="s">
        <v>410</v>
      </c>
    </row>
    <row r="66" spans="3:12" x14ac:dyDescent="0.25">
      <c r="C66" s="171" t="s">
        <v>58</v>
      </c>
      <c r="D66" s="169">
        <v>2</v>
      </c>
      <c r="E66" s="131">
        <v>2</v>
      </c>
      <c r="F66" s="119">
        <v>21000</v>
      </c>
      <c r="G66" s="622">
        <f t="shared" ref="G66:G67" si="2">D66*E66*F66</f>
        <v>84000</v>
      </c>
      <c r="H66" s="164" t="s">
        <v>1675</v>
      </c>
      <c r="I66" s="101" t="s">
        <v>514</v>
      </c>
      <c r="J66" s="101" t="str">
        <f>VLOOKUP(I66,Presupuesto!$B$11:$C$565,2,0)</f>
        <v>AGUINALDO Y DECIMO CUARTO MES</v>
      </c>
      <c r="K66" s="98" t="s">
        <v>1366</v>
      </c>
      <c r="L66" s="98" t="s">
        <v>410</v>
      </c>
    </row>
    <row r="67" spans="3:12" ht="15.75" thickBot="1" x14ac:dyDescent="0.3">
      <c r="C67" s="173" t="s">
        <v>59</v>
      </c>
      <c r="D67" s="162">
        <v>2</v>
      </c>
      <c r="E67" s="132">
        <v>1</v>
      </c>
      <c r="F67" s="105">
        <f>IF(E65&lt;6,"",((E65-6)/12)*(G65/E65))</f>
        <v>21000</v>
      </c>
      <c r="G67" s="622">
        <f t="shared" si="2"/>
        <v>42000</v>
      </c>
      <c r="H67" s="162" t="s">
        <v>1675</v>
      </c>
      <c r="I67" s="106" t="s">
        <v>517</v>
      </c>
      <c r="J67" s="124" t="str">
        <f>VLOOKUP(I67,Presupuesto!$B$11:$C$565,2,0)</f>
        <v>DECIMOCUARTO MES</v>
      </c>
      <c r="K67" s="98" t="s">
        <v>1366</v>
      </c>
      <c r="L67" s="124" t="s">
        <v>410</v>
      </c>
    </row>
    <row r="69" spans="3:12" ht="15.75" thickBot="1" x14ac:dyDescent="0.3">
      <c r="K69" s="153"/>
    </row>
    <row r="70" spans="3:12" ht="15.75" thickBot="1" x14ac:dyDescent="0.3">
      <c r="C70" s="69" t="s">
        <v>43</v>
      </c>
      <c r="D70" s="30">
        <f>SUM(G77:G127)</f>
        <v>450000</v>
      </c>
      <c r="E70" s="93"/>
      <c r="F70" s="93"/>
      <c r="G70" s="93"/>
      <c r="H70" s="76"/>
      <c r="I70" s="76"/>
      <c r="J70" s="76"/>
      <c r="K70" s="153"/>
    </row>
    <row r="71" spans="3:12" x14ac:dyDescent="0.25">
      <c r="D71" s="31"/>
      <c r="E71" s="93"/>
      <c r="F71" s="93"/>
      <c r="G71" s="93"/>
      <c r="H71" s="76"/>
      <c r="I71" s="76"/>
      <c r="J71" s="76"/>
      <c r="K71" s="153"/>
    </row>
    <row r="72" spans="3:12" x14ac:dyDescent="0.25">
      <c r="D72" s="31"/>
      <c r="E72" s="93"/>
      <c r="F72" s="93"/>
      <c r="G72" s="93"/>
      <c r="H72" s="76"/>
      <c r="I72" s="76"/>
      <c r="J72" s="76"/>
      <c r="K72" s="153"/>
    </row>
    <row r="73" spans="3:12" ht="15.75" x14ac:dyDescent="0.25">
      <c r="C73" s="202" t="s">
        <v>390</v>
      </c>
      <c r="D73" s="368" t="str">
        <f>'15. Gobernabilidad y Proceso...'!G27</f>
        <v>1.3.7</v>
      </c>
      <c r="E73" s="93"/>
      <c r="F73" s="93"/>
      <c r="G73" s="93"/>
      <c r="H73" s="76"/>
      <c r="I73" s="76"/>
      <c r="J73" s="76"/>
      <c r="K73" s="153"/>
    </row>
    <row r="74" spans="3:12" ht="18.75" x14ac:dyDescent="0.25">
      <c r="C74" s="210" t="str">
        <f>IFERROR(VLOOKUP(D73,'1. Desarrollo e Innov. Curricu.'!$F:$G,2,FALSE),IFERROR(VLOOKUP(D73,'2. Investigación Científica'!$F:$G,2,FALSE),IFERROR(VLOOKUP(D73,'3. Vinculación Univ. Sociedad'!$F:$G,2,FALSE),IFERROR(VLOOKUP(D73,'4. Docencia y Profesorado Univ.'!$F:$G,2,FALSE),IFERROR(VLOOKUP(D73,'5. Estudiantes y Graduados'!$F:$G,2,FALSE),IFERROR(VLOOKUP(D73,'11. Gestion Administrativa'!$F:$G,2,FALSE),IFERROR(VLOOKUP(D73,'13. Gestión Académica'!$F:$G,2,FALSE),IFERROR(VLOOKUP(D73,'9. Asegura. de la Calid. y M'!$F:$G,2,FALSE),IFERROR(VLOOKUP(D73,'6. Gestión del Conocimiento'!$F:$G,2,FALSE),IFERROR(VLOOKUP(D73,'15. Gobernabilidad y Proceso...'!$G:$H,2,FALSE),IFERROR(VLOOKUP(D73,'12. Gestión del Talento Humano'!$F:$G,2,FALSE),IFERROR(VLOOKUP(D73,'14. Internacional... de la E.S.'!$F:$G,2,FALSE),IFERROR(VLOOKUP(D73,'10. Posgrado'!$F:$G,2,FALSE),IFERROR(VLOOKUP(D73,'17. Gestión TIC'!$F:$G,2,FALSE),IFERROR(VLOOKUP(D73,'16. Desa. del Sistema Educ.Sup.'!$F:$G,2,FALSE),IFERROR(VLOOKUP(D73,'8. Cultura de Inno. Insti...'!$F:$G,2,FALSE),VLOOKUP(D73,'7. Lo Esencial de la Reforma U.'!$G:$H,2,0)))))))))))))))))</f>
        <v>1.2.3 a) Creación de Plazas para Delegaciones nuevas 1.23. b) Contratacion de un psicologo asignado para la Unidad contra el Acoso Sexual</v>
      </c>
      <c r="D74" s="31"/>
      <c r="E74" s="93"/>
      <c r="F74" s="93"/>
      <c r="G74" s="93"/>
      <c r="H74" s="76"/>
      <c r="I74" s="76"/>
      <c r="J74" s="76"/>
      <c r="K74" s="153"/>
    </row>
    <row r="75" spans="3:12" ht="15.75" thickBot="1" x14ac:dyDescent="0.3">
      <c r="C75" s="177"/>
      <c r="D75" s="31"/>
      <c r="E75" s="93"/>
      <c r="F75" s="93"/>
      <c r="G75" s="93"/>
      <c r="H75" s="76"/>
      <c r="I75" s="76"/>
      <c r="J75" s="76"/>
      <c r="K75" s="153"/>
    </row>
    <row r="76" spans="3:12" ht="30.75" thickBot="1" x14ac:dyDescent="0.3">
      <c r="C76" s="134" t="s">
        <v>44</v>
      </c>
      <c r="D76" s="138" t="s">
        <v>55</v>
      </c>
      <c r="E76" s="170" t="s">
        <v>56</v>
      </c>
      <c r="F76" s="138" t="s">
        <v>57</v>
      </c>
      <c r="G76" s="135" t="s">
        <v>27</v>
      </c>
      <c r="H76" s="133" t="s">
        <v>129</v>
      </c>
      <c r="I76" s="136" t="s">
        <v>46</v>
      </c>
      <c r="J76" s="136" t="s">
        <v>130</v>
      </c>
      <c r="K76" s="136" t="s">
        <v>408</v>
      </c>
      <c r="L76" s="136" t="s">
        <v>409</v>
      </c>
    </row>
    <row r="77" spans="3:12" ht="15.75" thickBot="1" x14ac:dyDescent="0.3">
      <c r="C77" s="137" t="s">
        <v>480</v>
      </c>
      <c r="D77" s="199"/>
      <c r="E77" s="152">
        <v>12</v>
      </c>
      <c r="F77" s="303">
        <f>HLOOKUP($C77,$BZ$2:$CM$3,2,0)</f>
        <v>43674.39</v>
      </c>
      <c r="G77" s="113">
        <f>D77*E77*F77</f>
        <v>0</v>
      </c>
      <c r="H77" s="166"/>
      <c r="I77" s="114" t="s">
        <v>494</v>
      </c>
      <c r="J77" s="114" t="str">
        <f>VLOOKUP(I77,Presupuesto!$B$11:$C$565,2,0)</f>
        <v>SUELDOS Y SALARIOS PERMANENTES</v>
      </c>
      <c r="K77" s="218" t="s">
        <v>1443</v>
      </c>
      <c r="L77" s="98" t="s">
        <v>392</v>
      </c>
    </row>
    <row r="78" spans="3:12" x14ac:dyDescent="0.25">
      <c r="C78" s="171" t="s">
        <v>58</v>
      </c>
      <c r="D78" s="163"/>
      <c r="E78" s="154">
        <v>0</v>
      </c>
      <c r="F78" s="100">
        <f>IF(E77=0,"",(G77/E77)/12*E77)</f>
        <v>0</v>
      </c>
      <c r="G78" s="97">
        <f>F78</f>
        <v>0</v>
      </c>
      <c r="H78" s="164"/>
      <c r="I78" s="116" t="s">
        <v>514</v>
      </c>
      <c r="J78" s="116" t="str">
        <f>VLOOKUP(I78,Presupuesto!$B$11:$C$565,2,0)</f>
        <v>AGUINALDO Y DECIMO CUARTO MES</v>
      </c>
      <c r="K78" s="98" t="str">
        <f t="shared" ref="K78:K109" si="3">$K$77</f>
        <v>Posgrado</v>
      </c>
      <c r="L78" s="98" t="s">
        <v>410</v>
      </c>
    </row>
    <row r="79" spans="3:12" ht="15.75" thickBot="1" x14ac:dyDescent="0.3">
      <c r="C79" s="172" t="s">
        <v>59</v>
      </c>
      <c r="D79" s="163"/>
      <c r="E79" s="154">
        <v>0</v>
      </c>
      <c r="F79" s="117">
        <f>IF(E77&lt;6,"",((E77-6)/12)*(G77/E77))</f>
        <v>0</v>
      </c>
      <c r="G79" s="97">
        <f>F79</f>
        <v>0</v>
      </c>
      <c r="H79" s="164"/>
      <c r="I79" s="101" t="s">
        <v>517</v>
      </c>
      <c r="J79" s="101" t="str">
        <f>VLOOKUP(I79,Presupuesto!$B$11:$C$565,2,0)</f>
        <v>DECIMOCUARTO MES</v>
      </c>
      <c r="K79" s="98" t="str">
        <f t="shared" si="3"/>
        <v>Posgrado</v>
      </c>
      <c r="L79" s="98" t="s">
        <v>393</v>
      </c>
    </row>
    <row r="80" spans="3:12" ht="15.75" thickBot="1" x14ac:dyDescent="0.3">
      <c r="C80" s="137" t="s">
        <v>481</v>
      </c>
      <c r="D80" s="199"/>
      <c r="E80" s="152">
        <v>12</v>
      </c>
      <c r="F80" s="303">
        <f>HLOOKUP($C80,$BZ$2:$CM$3,2,0)</f>
        <v>39703.99</v>
      </c>
      <c r="G80" s="113">
        <f>D80*E80*F80</f>
        <v>0</v>
      </c>
      <c r="H80" s="166"/>
      <c r="I80" s="114" t="s">
        <v>494</v>
      </c>
      <c r="J80" s="114" t="str">
        <f>VLOOKUP(I80,Presupuesto!$B$11:$C$565,2,0)</f>
        <v>SUELDOS Y SALARIOS PERMANENTES</v>
      </c>
      <c r="K80" s="98" t="str">
        <f t="shared" si="3"/>
        <v>Posgrado</v>
      </c>
      <c r="L80" s="98" t="s">
        <v>393</v>
      </c>
    </row>
    <row r="81" spans="3:12" x14ac:dyDescent="0.25">
      <c r="C81" s="171" t="s">
        <v>58</v>
      </c>
      <c r="D81" s="163"/>
      <c r="E81" s="154">
        <v>0</v>
      </c>
      <c r="F81" s="100">
        <f>IF(E80=0,"",(G80/E80)/12*E80)</f>
        <v>0</v>
      </c>
      <c r="G81" s="97">
        <f>F81</f>
        <v>0</v>
      </c>
      <c r="H81" s="164"/>
      <c r="I81" s="116" t="s">
        <v>514</v>
      </c>
      <c r="J81" s="116" t="str">
        <f>VLOOKUP(I81,Presupuesto!$B$11:$C$565,2,0)</f>
        <v>AGUINALDO Y DECIMO CUARTO MES</v>
      </c>
      <c r="K81" s="98" t="str">
        <f t="shared" si="3"/>
        <v>Posgrado</v>
      </c>
      <c r="L81" s="98" t="s">
        <v>393</v>
      </c>
    </row>
    <row r="82" spans="3:12" ht="15.75" thickBot="1" x14ac:dyDescent="0.3">
      <c r="C82" s="172" t="s">
        <v>59</v>
      </c>
      <c r="D82" s="163"/>
      <c r="E82" s="154">
        <v>0</v>
      </c>
      <c r="F82" s="117">
        <f>IF(E80&lt;6,"",((E80-6)/12)*(G80/E80))</f>
        <v>0</v>
      </c>
      <c r="G82" s="97">
        <f>F82</f>
        <v>0</v>
      </c>
      <c r="H82" s="164"/>
      <c r="I82" s="101" t="s">
        <v>517</v>
      </c>
      <c r="J82" s="101" t="str">
        <f>VLOOKUP(I82,Presupuesto!$B$11:$C$565,2,0)</f>
        <v>DECIMOCUARTO MES</v>
      </c>
      <c r="K82" s="98" t="str">
        <f t="shared" si="3"/>
        <v>Posgrado</v>
      </c>
      <c r="L82" s="98" t="s">
        <v>393</v>
      </c>
    </row>
    <row r="83" spans="3:12" ht="15.75" thickBot="1" x14ac:dyDescent="0.3">
      <c r="C83" s="137" t="s">
        <v>482</v>
      </c>
      <c r="D83" s="199"/>
      <c r="E83" s="152">
        <v>12</v>
      </c>
      <c r="F83" s="303">
        <f>HLOOKUP($C83,$BZ$2:$CM$3,2,0)</f>
        <v>35733.589999999997</v>
      </c>
      <c r="G83" s="113">
        <f>D83*E83*F83</f>
        <v>0</v>
      </c>
      <c r="H83" s="166"/>
      <c r="I83" s="114" t="s">
        <v>494</v>
      </c>
      <c r="J83" s="114" t="str">
        <f>VLOOKUP(I83,Presupuesto!$B$11:$C$565,2,0)</f>
        <v>SUELDOS Y SALARIOS PERMANENTES</v>
      </c>
      <c r="K83" s="98" t="str">
        <f t="shared" si="3"/>
        <v>Posgrado</v>
      </c>
      <c r="L83" s="98" t="s">
        <v>393</v>
      </c>
    </row>
    <row r="84" spans="3:12" x14ac:dyDescent="0.25">
      <c r="C84" s="171" t="s">
        <v>58</v>
      </c>
      <c r="D84" s="163"/>
      <c r="E84" s="154">
        <v>0</v>
      </c>
      <c r="F84" s="100">
        <f>IF(E83=0,"",(G83/E83)/12*E83)</f>
        <v>0</v>
      </c>
      <c r="G84" s="97">
        <f>F84</f>
        <v>0</v>
      </c>
      <c r="H84" s="164"/>
      <c r="I84" s="116" t="s">
        <v>514</v>
      </c>
      <c r="J84" s="116" t="str">
        <f>VLOOKUP(I84,Presupuesto!$B$11:$C$565,2,0)</f>
        <v>AGUINALDO Y DECIMO CUARTO MES</v>
      </c>
      <c r="K84" s="98" t="str">
        <f t="shared" si="3"/>
        <v>Posgrado</v>
      </c>
      <c r="L84" s="98" t="s">
        <v>393</v>
      </c>
    </row>
    <row r="85" spans="3:12" ht="15.75" thickBot="1" x14ac:dyDescent="0.3">
      <c r="C85" s="172" t="s">
        <v>59</v>
      </c>
      <c r="D85" s="163"/>
      <c r="E85" s="154">
        <v>0</v>
      </c>
      <c r="F85" s="117">
        <f>IF(E83&lt;6,"",((E83-6)/12)*(G83/E83))</f>
        <v>0</v>
      </c>
      <c r="G85" s="97">
        <f>F85</f>
        <v>0</v>
      </c>
      <c r="H85" s="164"/>
      <c r="I85" s="101" t="s">
        <v>517</v>
      </c>
      <c r="J85" s="101" t="str">
        <f>VLOOKUP(I85,Presupuesto!$B$11:$C$565,2,0)</f>
        <v>DECIMOCUARTO MES</v>
      </c>
      <c r="K85" s="98" t="str">
        <f t="shared" si="3"/>
        <v>Posgrado</v>
      </c>
      <c r="L85" s="98" t="s">
        <v>393</v>
      </c>
    </row>
    <row r="86" spans="3:12" ht="15.75" thickBot="1" x14ac:dyDescent="0.3">
      <c r="C86" s="137" t="s">
        <v>483</v>
      </c>
      <c r="D86" s="199"/>
      <c r="E86" s="152">
        <v>12</v>
      </c>
      <c r="F86" s="303">
        <f>HLOOKUP($C86,$BZ$2:$CM$3,2,0)</f>
        <v>31763.19</v>
      </c>
      <c r="G86" s="113">
        <f>D86*E86*F86</f>
        <v>0</v>
      </c>
      <c r="H86" s="166"/>
      <c r="I86" s="114" t="s">
        <v>494</v>
      </c>
      <c r="J86" s="114" t="str">
        <f>VLOOKUP(I86,Presupuesto!$B$11:$C$565,2,0)</f>
        <v>SUELDOS Y SALARIOS PERMANENTES</v>
      </c>
      <c r="K86" s="98" t="str">
        <f t="shared" si="3"/>
        <v>Posgrado</v>
      </c>
      <c r="L86" s="98" t="s">
        <v>393</v>
      </c>
    </row>
    <row r="87" spans="3:12" x14ac:dyDescent="0.25">
      <c r="C87" s="171" t="s">
        <v>58</v>
      </c>
      <c r="D87" s="163"/>
      <c r="E87" s="154">
        <v>0</v>
      </c>
      <c r="F87" s="100">
        <f>IF(E86=0,"",(G86/E86)/12*E86)</f>
        <v>0</v>
      </c>
      <c r="G87" s="97">
        <f>F87</f>
        <v>0</v>
      </c>
      <c r="H87" s="164"/>
      <c r="I87" s="116" t="s">
        <v>514</v>
      </c>
      <c r="J87" s="116" t="str">
        <f>VLOOKUP(I87,Presupuesto!$B$11:$C$565,2,0)</f>
        <v>AGUINALDO Y DECIMO CUARTO MES</v>
      </c>
      <c r="K87" s="98" t="str">
        <f t="shared" si="3"/>
        <v>Posgrado</v>
      </c>
      <c r="L87" s="98" t="s">
        <v>393</v>
      </c>
    </row>
    <row r="88" spans="3:12" ht="15.75" thickBot="1" x14ac:dyDescent="0.3">
      <c r="C88" s="172" t="s">
        <v>59</v>
      </c>
      <c r="D88" s="163"/>
      <c r="E88" s="154">
        <v>0</v>
      </c>
      <c r="F88" s="117">
        <f>IF(E86&lt;6,"",((E86-6)/12)*(G86/E86))</f>
        <v>0</v>
      </c>
      <c r="G88" s="97">
        <f>F88</f>
        <v>0</v>
      </c>
      <c r="H88" s="164"/>
      <c r="I88" s="101" t="s">
        <v>517</v>
      </c>
      <c r="J88" s="101" t="str">
        <f>VLOOKUP(I88,Presupuesto!$B$11:$C$565,2,0)</f>
        <v>DECIMOCUARTO MES</v>
      </c>
      <c r="K88" s="98" t="str">
        <f t="shared" si="3"/>
        <v>Posgrado</v>
      </c>
      <c r="L88" s="98" t="s">
        <v>393</v>
      </c>
    </row>
    <row r="89" spans="3:12" ht="15.75" thickBot="1" x14ac:dyDescent="0.3">
      <c r="C89" s="137" t="s">
        <v>484</v>
      </c>
      <c r="D89" s="199"/>
      <c r="E89" s="152">
        <v>12</v>
      </c>
      <c r="F89" s="303">
        <f>HLOOKUP($C89,$BZ$2:$CM$3,2,0)</f>
        <v>29777.99</v>
      </c>
      <c r="G89" s="113">
        <f>D89*E89*F89</f>
        <v>0</v>
      </c>
      <c r="H89" s="166"/>
      <c r="I89" s="114" t="s">
        <v>494</v>
      </c>
      <c r="J89" s="114" t="str">
        <f>VLOOKUP(I89,Presupuesto!$B$11:$C$565,2,0)</f>
        <v>SUELDOS Y SALARIOS PERMANENTES</v>
      </c>
      <c r="K89" s="98" t="str">
        <f t="shared" si="3"/>
        <v>Posgrado</v>
      </c>
      <c r="L89" s="98" t="s">
        <v>393</v>
      </c>
    </row>
    <row r="90" spans="3:12" x14ac:dyDescent="0.25">
      <c r="C90" s="171" t="s">
        <v>58</v>
      </c>
      <c r="D90" s="163"/>
      <c r="E90" s="154">
        <v>0</v>
      </c>
      <c r="F90" s="100">
        <f>IF(E89=0,"",(G89/E89)/12*E89)</f>
        <v>0</v>
      </c>
      <c r="G90" s="97">
        <f>F90</f>
        <v>0</v>
      </c>
      <c r="H90" s="164"/>
      <c r="I90" s="116" t="s">
        <v>514</v>
      </c>
      <c r="J90" s="116" t="str">
        <f>VLOOKUP(I90,Presupuesto!$B$11:$C$565,2,0)</f>
        <v>AGUINALDO Y DECIMO CUARTO MES</v>
      </c>
      <c r="K90" s="98" t="str">
        <f t="shared" si="3"/>
        <v>Posgrado</v>
      </c>
      <c r="L90" s="98" t="s">
        <v>393</v>
      </c>
    </row>
    <row r="91" spans="3:12" ht="15.75" thickBot="1" x14ac:dyDescent="0.3">
      <c r="C91" s="172" t="s">
        <v>59</v>
      </c>
      <c r="D91" s="163"/>
      <c r="E91" s="154">
        <v>0</v>
      </c>
      <c r="F91" s="117">
        <f>IF(E89&lt;6,"",((E89-6)/12)*(G89/E89))</f>
        <v>0</v>
      </c>
      <c r="G91" s="97">
        <f>F91</f>
        <v>0</v>
      </c>
      <c r="H91" s="164"/>
      <c r="I91" s="101" t="s">
        <v>517</v>
      </c>
      <c r="J91" s="101" t="str">
        <f>VLOOKUP(I91,Presupuesto!$B$11:$C$565,2,0)</f>
        <v>DECIMOCUARTO MES</v>
      </c>
      <c r="K91" s="98" t="str">
        <f t="shared" si="3"/>
        <v>Posgrado</v>
      </c>
      <c r="L91" s="98" t="s">
        <v>393</v>
      </c>
    </row>
    <row r="92" spans="3:12" ht="15.75" thickBot="1" x14ac:dyDescent="0.3">
      <c r="C92" s="137" t="s">
        <v>485</v>
      </c>
      <c r="D92" s="199"/>
      <c r="E92" s="152">
        <v>12</v>
      </c>
      <c r="F92" s="303">
        <f>HLOOKUP($C92,$BZ$2:$CM$3,2,0)</f>
        <v>27792.79</v>
      </c>
      <c r="G92" s="113">
        <f>D92*E92*F92</f>
        <v>0</v>
      </c>
      <c r="H92" s="166"/>
      <c r="I92" s="114" t="s">
        <v>494</v>
      </c>
      <c r="J92" s="114" t="str">
        <f>VLOOKUP(I92,Presupuesto!$B$11:$C$565,2,0)</f>
        <v>SUELDOS Y SALARIOS PERMANENTES</v>
      </c>
      <c r="K92" s="98" t="str">
        <f t="shared" si="3"/>
        <v>Posgrado</v>
      </c>
      <c r="L92" s="98" t="s">
        <v>393</v>
      </c>
    </row>
    <row r="93" spans="3:12" x14ac:dyDescent="0.25">
      <c r="C93" s="171" t="s">
        <v>58</v>
      </c>
      <c r="D93" s="163"/>
      <c r="E93" s="154">
        <v>0</v>
      </c>
      <c r="F93" s="100">
        <f>IF(E92=0,"",(G92/E92)/12*E92)</f>
        <v>0</v>
      </c>
      <c r="G93" s="97">
        <f>F93</f>
        <v>0</v>
      </c>
      <c r="H93" s="164"/>
      <c r="I93" s="116" t="s">
        <v>514</v>
      </c>
      <c r="J93" s="116" t="str">
        <f>VLOOKUP(I93,Presupuesto!$B$11:$C$565,2,0)</f>
        <v>AGUINALDO Y DECIMO CUARTO MES</v>
      </c>
      <c r="K93" s="98" t="str">
        <f t="shared" si="3"/>
        <v>Posgrado</v>
      </c>
      <c r="L93" s="98" t="s">
        <v>393</v>
      </c>
    </row>
    <row r="94" spans="3:12" ht="15.75" thickBot="1" x14ac:dyDescent="0.3">
      <c r="C94" s="172" t="s">
        <v>59</v>
      </c>
      <c r="D94" s="163"/>
      <c r="E94" s="154">
        <v>0</v>
      </c>
      <c r="F94" s="117">
        <f>IF(E92&lt;6,"",((E92-6)/12)*(G92/E92))</f>
        <v>0</v>
      </c>
      <c r="G94" s="97">
        <f>F94</f>
        <v>0</v>
      </c>
      <c r="H94" s="164"/>
      <c r="I94" s="101" t="s">
        <v>517</v>
      </c>
      <c r="J94" s="101" t="str">
        <f>VLOOKUP(I94,Presupuesto!$B$11:$C$565,2,0)</f>
        <v>DECIMOCUARTO MES</v>
      </c>
      <c r="K94" s="98" t="str">
        <f t="shared" si="3"/>
        <v>Posgrado</v>
      </c>
      <c r="L94" s="98" t="s">
        <v>393</v>
      </c>
    </row>
    <row r="95" spans="3:12" ht="15.75" thickBot="1" x14ac:dyDescent="0.3">
      <c r="C95" s="137" t="s">
        <v>486</v>
      </c>
      <c r="D95" s="199"/>
      <c r="E95" s="152">
        <v>12</v>
      </c>
      <c r="F95" s="303">
        <f>HLOOKUP($C95,$BZ$2:$CM$3,2,0)</f>
        <v>18859.39</v>
      </c>
      <c r="G95" s="113">
        <f>D95*E95*F95</f>
        <v>0</v>
      </c>
      <c r="H95" s="166"/>
      <c r="I95" s="114" t="s">
        <v>494</v>
      </c>
      <c r="J95" s="114" t="str">
        <f>VLOOKUP(I95,Presupuesto!$B$11:$C$565,2,0)</f>
        <v>SUELDOS Y SALARIOS PERMANENTES</v>
      </c>
      <c r="K95" s="98" t="str">
        <f t="shared" si="3"/>
        <v>Posgrado</v>
      </c>
      <c r="L95" s="98" t="s">
        <v>393</v>
      </c>
    </row>
    <row r="96" spans="3:12" x14ac:dyDescent="0.25">
      <c r="C96" s="171" t="s">
        <v>58</v>
      </c>
      <c r="D96" s="163"/>
      <c r="E96" s="154">
        <v>0</v>
      </c>
      <c r="F96" s="100">
        <f>IF(E95=0,"",(G95/E95)/12*E95)</f>
        <v>0</v>
      </c>
      <c r="G96" s="97">
        <f>F96</f>
        <v>0</v>
      </c>
      <c r="H96" s="164"/>
      <c r="I96" s="116" t="s">
        <v>514</v>
      </c>
      <c r="J96" s="116" t="str">
        <f>VLOOKUP(I96,Presupuesto!$B$11:$C$565,2,0)</f>
        <v>AGUINALDO Y DECIMO CUARTO MES</v>
      </c>
      <c r="K96" s="98" t="str">
        <f t="shared" si="3"/>
        <v>Posgrado</v>
      </c>
      <c r="L96" s="98" t="s">
        <v>393</v>
      </c>
    </row>
    <row r="97" spans="3:12" ht="15.75" thickBot="1" x14ac:dyDescent="0.3">
      <c r="C97" s="172" t="s">
        <v>59</v>
      </c>
      <c r="D97" s="163"/>
      <c r="E97" s="154">
        <v>0</v>
      </c>
      <c r="F97" s="117">
        <f>IF(E95&lt;6,"",((E95-6)/12)*(G95/E95))</f>
        <v>0</v>
      </c>
      <c r="G97" s="97">
        <f>F97</f>
        <v>0</v>
      </c>
      <c r="H97" s="164"/>
      <c r="I97" s="101" t="s">
        <v>517</v>
      </c>
      <c r="J97" s="101" t="str">
        <f>VLOOKUP(I97,Presupuesto!$B$11:$C$565,2,0)</f>
        <v>DECIMOCUARTO MES</v>
      </c>
      <c r="K97" s="98" t="str">
        <f t="shared" si="3"/>
        <v>Posgrado</v>
      </c>
      <c r="L97" s="98" t="s">
        <v>393</v>
      </c>
    </row>
    <row r="98" spans="3:12" ht="15.75" thickBot="1" x14ac:dyDescent="0.3">
      <c r="C98" s="137" t="s">
        <v>487</v>
      </c>
      <c r="D98" s="199"/>
      <c r="E98" s="152">
        <v>12</v>
      </c>
      <c r="F98" s="303">
        <f>HLOOKUP($C98,$BZ$2:$CM$3,2,0)</f>
        <v>17866.8</v>
      </c>
      <c r="G98" s="113">
        <f>D98*E98*F98</f>
        <v>0</v>
      </c>
      <c r="H98" s="166"/>
      <c r="I98" s="114" t="s">
        <v>494</v>
      </c>
      <c r="J98" s="114" t="str">
        <f>VLOOKUP(I98,Presupuesto!$B$11:$C$565,2,0)</f>
        <v>SUELDOS Y SALARIOS PERMANENTES</v>
      </c>
      <c r="K98" s="98" t="str">
        <f t="shared" si="3"/>
        <v>Posgrado</v>
      </c>
      <c r="L98" s="98" t="s">
        <v>393</v>
      </c>
    </row>
    <row r="99" spans="3:12" x14ac:dyDescent="0.25">
      <c r="C99" s="171" t="s">
        <v>58</v>
      </c>
      <c r="D99" s="163"/>
      <c r="E99" s="154">
        <v>0</v>
      </c>
      <c r="F99" s="100">
        <f>IF(E98=0,"",(G98/E98)/12*E98)</f>
        <v>0</v>
      </c>
      <c r="G99" s="97">
        <f>F99</f>
        <v>0</v>
      </c>
      <c r="H99" s="164"/>
      <c r="I99" s="116" t="s">
        <v>514</v>
      </c>
      <c r="J99" s="116" t="str">
        <f>VLOOKUP(I99,Presupuesto!$B$11:$C$565,2,0)</f>
        <v>AGUINALDO Y DECIMO CUARTO MES</v>
      </c>
      <c r="K99" s="98" t="str">
        <f t="shared" si="3"/>
        <v>Posgrado</v>
      </c>
      <c r="L99" s="98" t="s">
        <v>393</v>
      </c>
    </row>
    <row r="100" spans="3:12" ht="15.75" thickBot="1" x14ac:dyDescent="0.3">
      <c r="C100" s="172" t="s">
        <v>59</v>
      </c>
      <c r="D100" s="163"/>
      <c r="E100" s="154">
        <v>0</v>
      </c>
      <c r="F100" s="117">
        <f>IF(E98&lt;6,"",((E98-6)/12)*(G98/E98))</f>
        <v>0</v>
      </c>
      <c r="G100" s="97">
        <f>F100</f>
        <v>0</v>
      </c>
      <c r="H100" s="164"/>
      <c r="I100" s="101" t="s">
        <v>517</v>
      </c>
      <c r="J100" s="101" t="str">
        <f>VLOOKUP(I100,Presupuesto!$B$11:$C$565,2,0)</f>
        <v>DECIMOCUARTO MES</v>
      </c>
      <c r="K100" s="98" t="str">
        <f t="shared" si="3"/>
        <v>Posgrado</v>
      </c>
      <c r="L100" s="98" t="s">
        <v>393</v>
      </c>
    </row>
    <row r="101" spans="3:12" ht="15.75" thickBot="1" x14ac:dyDescent="0.3">
      <c r="C101" s="137" t="s">
        <v>488</v>
      </c>
      <c r="D101" s="199"/>
      <c r="E101" s="152">
        <v>12</v>
      </c>
      <c r="F101" s="303">
        <f>HLOOKUP($C101,$BZ$2:$CM$3,2,0)</f>
        <v>13896.4</v>
      </c>
      <c r="G101" s="113">
        <f>D101*E101*F101</f>
        <v>0</v>
      </c>
      <c r="H101" s="166"/>
      <c r="I101" s="114" t="s">
        <v>494</v>
      </c>
      <c r="J101" s="114" t="str">
        <f>VLOOKUP(I101,Presupuesto!$B$11:$C$565,2,0)</f>
        <v>SUELDOS Y SALARIOS PERMANENTES</v>
      </c>
      <c r="K101" s="98" t="str">
        <f t="shared" si="3"/>
        <v>Posgrado</v>
      </c>
      <c r="L101" s="98" t="s">
        <v>393</v>
      </c>
    </row>
    <row r="102" spans="3:12" x14ac:dyDescent="0.25">
      <c r="C102" s="171" t="s">
        <v>58</v>
      </c>
      <c r="D102" s="163"/>
      <c r="E102" s="154">
        <v>0</v>
      </c>
      <c r="F102" s="100">
        <f>IF(E101=0,"",(G101/E101)/12*E101)</f>
        <v>0</v>
      </c>
      <c r="G102" s="97">
        <f>F102</f>
        <v>0</v>
      </c>
      <c r="H102" s="164"/>
      <c r="I102" s="116" t="s">
        <v>514</v>
      </c>
      <c r="J102" s="116" t="str">
        <f>VLOOKUP(I102,Presupuesto!$B$11:$C$565,2,0)</f>
        <v>AGUINALDO Y DECIMO CUARTO MES</v>
      </c>
      <c r="K102" s="98" t="str">
        <f t="shared" si="3"/>
        <v>Posgrado</v>
      </c>
      <c r="L102" s="98" t="s">
        <v>393</v>
      </c>
    </row>
    <row r="103" spans="3:12" ht="15.75" thickBot="1" x14ac:dyDescent="0.3">
      <c r="C103" s="172" t="s">
        <v>59</v>
      </c>
      <c r="D103" s="163"/>
      <c r="E103" s="154">
        <v>0</v>
      </c>
      <c r="F103" s="117">
        <f>IF(E101&lt;6,"",((E101-6)/12)*(G101/E101))</f>
        <v>0</v>
      </c>
      <c r="G103" s="97">
        <f>F103</f>
        <v>0</v>
      </c>
      <c r="H103" s="164"/>
      <c r="I103" s="101" t="s">
        <v>517</v>
      </c>
      <c r="J103" s="101" t="str">
        <f>VLOOKUP(I103,Presupuesto!$B$11:$C$565,2,0)</f>
        <v>DECIMOCUARTO MES</v>
      </c>
      <c r="K103" s="98" t="str">
        <f t="shared" si="3"/>
        <v>Posgrado</v>
      </c>
      <c r="L103" s="98" t="s">
        <v>393</v>
      </c>
    </row>
    <row r="104" spans="3:12" ht="15.75" thickBot="1" x14ac:dyDescent="0.3">
      <c r="C104" s="137" t="s">
        <v>489</v>
      </c>
      <c r="D104" s="199"/>
      <c r="E104" s="152">
        <v>12</v>
      </c>
      <c r="F104" s="303">
        <f>HLOOKUP($C104,$BZ$2:$CM$3,2,0)</f>
        <v>15004.09</v>
      </c>
      <c r="G104" s="113">
        <f>D104*E104*F104</f>
        <v>0</v>
      </c>
      <c r="H104" s="166"/>
      <c r="I104" s="114" t="s">
        <v>494</v>
      </c>
      <c r="J104" s="114" t="str">
        <f>VLOOKUP(I104,Presupuesto!$B$11:$C$565,2,0)</f>
        <v>SUELDOS Y SALARIOS PERMANENTES</v>
      </c>
      <c r="K104" s="98" t="str">
        <f t="shared" si="3"/>
        <v>Posgrado</v>
      </c>
      <c r="L104" s="98" t="s">
        <v>393</v>
      </c>
    </row>
    <row r="105" spans="3:12" x14ac:dyDescent="0.25">
      <c r="C105" s="171" t="s">
        <v>58</v>
      </c>
      <c r="D105" s="163"/>
      <c r="E105" s="154">
        <v>0</v>
      </c>
      <c r="F105" s="100">
        <f>IF(E104=0,"",(G104/E104)/12*E104)</f>
        <v>0</v>
      </c>
      <c r="G105" s="97">
        <f>F105</f>
        <v>0</v>
      </c>
      <c r="H105" s="164"/>
      <c r="I105" s="116" t="s">
        <v>514</v>
      </c>
      <c r="J105" s="116" t="str">
        <f>VLOOKUP(I105,Presupuesto!$B$11:$C$565,2,0)</f>
        <v>AGUINALDO Y DECIMO CUARTO MES</v>
      </c>
      <c r="K105" s="98" t="str">
        <f t="shared" si="3"/>
        <v>Posgrado</v>
      </c>
      <c r="L105" s="98" t="s">
        <v>393</v>
      </c>
    </row>
    <row r="106" spans="3:12" ht="15.75" thickBot="1" x14ac:dyDescent="0.3">
      <c r="C106" s="172" t="s">
        <v>59</v>
      </c>
      <c r="D106" s="163"/>
      <c r="E106" s="154">
        <v>0</v>
      </c>
      <c r="F106" s="117">
        <f>IF(E104&lt;6,"",((E104-6)/12)*(G104/E104))</f>
        <v>0</v>
      </c>
      <c r="G106" s="97">
        <f>F106</f>
        <v>0</v>
      </c>
      <c r="H106" s="164"/>
      <c r="I106" s="101" t="s">
        <v>517</v>
      </c>
      <c r="J106" s="101" t="str">
        <f>VLOOKUP(I106,Presupuesto!$B$11:$C$565,2,0)</f>
        <v>DECIMOCUARTO MES</v>
      </c>
      <c r="K106" s="98" t="str">
        <f t="shared" si="3"/>
        <v>Posgrado</v>
      </c>
      <c r="L106" s="98" t="s">
        <v>393</v>
      </c>
    </row>
    <row r="107" spans="3:12" ht="15.75" thickBot="1" x14ac:dyDescent="0.3">
      <c r="C107" s="137" t="s">
        <v>490</v>
      </c>
      <c r="D107" s="199"/>
      <c r="E107" s="152">
        <v>12</v>
      </c>
      <c r="F107" s="303">
        <f>HLOOKUP($C107,$BZ$2:$CM$3,2,0)</f>
        <v>13238.9</v>
      </c>
      <c r="G107" s="113">
        <f>D107*E107*F107</f>
        <v>0</v>
      </c>
      <c r="H107" s="166"/>
      <c r="I107" s="114" t="s">
        <v>494</v>
      </c>
      <c r="J107" s="114" t="str">
        <f>VLOOKUP(I107,Presupuesto!$B$11:$C$565,2,0)</f>
        <v>SUELDOS Y SALARIOS PERMANENTES</v>
      </c>
      <c r="K107" s="98" t="str">
        <f t="shared" si="3"/>
        <v>Posgrado</v>
      </c>
      <c r="L107" s="98" t="s">
        <v>393</v>
      </c>
    </row>
    <row r="108" spans="3:12" x14ac:dyDescent="0.25">
      <c r="C108" s="171" t="s">
        <v>58</v>
      </c>
      <c r="D108" s="163"/>
      <c r="E108" s="154">
        <v>0</v>
      </c>
      <c r="F108" s="100">
        <f>IF(E107=0,"",(G107/E107)/12*E107)</f>
        <v>0</v>
      </c>
      <c r="G108" s="97">
        <f>F108</f>
        <v>0</v>
      </c>
      <c r="H108" s="164"/>
      <c r="I108" s="116" t="s">
        <v>514</v>
      </c>
      <c r="J108" s="116" t="str">
        <f>VLOOKUP(I108,Presupuesto!$B$11:$C$565,2,0)</f>
        <v>AGUINALDO Y DECIMO CUARTO MES</v>
      </c>
      <c r="K108" s="98" t="str">
        <f t="shared" si="3"/>
        <v>Posgrado</v>
      </c>
      <c r="L108" s="98" t="s">
        <v>393</v>
      </c>
    </row>
    <row r="109" spans="3:12" ht="15.75" thickBot="1" x14ac:dyDescent="0.3">
      <c r="C109" s="172" t="s">
        <v>59</v>
      </c>
      <c r="D109" s="163"/>
      <c r="E109" s="154">
        <v>0</v>
      </c>
      <c r="F109" s="117">
        <f>IF(E107&lt;6,"",((E107-6)/12)*(G107/E107))</f>
        <v>0</v>
      </c>
      <c r="G109" s="97">
        <f>F109</f>
        <v>0</v>
      </c>
      <c r="H109" s="164"/>
      <c r="I109" s="101" t="s">
        <v>517</v>
      </c>
      <c r="J109" s="101" t="str">
        <f>VLOOKUP(I109,Presupuesto!$B$11:$C$565,2,0)</f>
        <v>DECIMOCUARTO MES</v>
      </c>
      <c r="K109" s="98" t="str">
        <f t="shared" si="3"/>
        <v>Posgrado</v>
      </c>
      <c r="L109" s="98" t="s">
        <v>393</v>
      </c>
    </row>
    <row r="110" spans="3:12" ht="15.75" thickBot="1" x14ac:dyDescent="0.3">
      <c r="C110" s="137" t="s">
        <v>491</v>
      </c>
      <c r="D110" s="199"/>
      <c r="E110" s="152">
        <v>12</v>
      </c>
      <c r="F110" s="303">
        <f>HLOOKUP($C110,$BZ$2:$CM$3,2,0)</f>
        <v>12356.31</v>
      </c>
      <c r="G110" s="113">
        <f>D110*E110*F110</f>
        <v>0</v>
      </c>
      <c r="H110" s="166"/>
      <c r="I110" s="114" t="s">
        <v>494</v>
      </c>
      <c r="J110" s="114" t="str">
        <f>VLOOKUP(I110,Presupuesto!$B$11:$C$565,2,0)</f>
        <v>SUELDOS Y SALARIOS PERMANENTES</v>
      </c>
      <c r="K110" s="98" t="str">
        <f t="shared" ref="K110:K124" si="4">$K$77</f>
        <v>Posgrado</v>
      </c>
      <c r="L110" s="98" t="s">
        <v>393</v>
      </c>
    </row>
    <row r="111" spans="3:12" x14ac:dyDescent="0.25">
      <c r="C111" s="171" t="s">
        <v>58</v>
      </c>
      <c r="D111" s="163"/>
      <c r="E111" s="154">
        <v>0</v>
      </c>
      <c r="F111" s="100">
        <f>IF(E110=0,"",(G110/E110)/12*E110)</f>
        <v>0</v>
      </c>
      <c r="G111" s="97">
        <f>F111</f>
        <v>0</v>
      </c>
      <c r="H111" s="164"/>
      <c r="I111" s="116" t="s">
        <v>514</v>
      </c>
      <c r="J111" s="116" t="str">
        <f>VLOOKUP(I111,Presupuesto!$B$11:$C$565,2,0)</f>
        <v>AGUINALDO Y DECIMO CUARTO MES</v>
      </c>
      <c r="K111" s="98" t="str">
        <f t="shared" si="4"/>
        <v>Posgrado</v>
      </c>
      <c r="L111" s="98" t="s">
        <v>393</v>
      </c>
    </row>
    <row r="112" spans="3:12" ht="15.75" thickBot="1" x14ac:dyDescent="0.3">
      <c r="C112" s="172" t="s">
        <v>59</v>
      </c>
      <c r="D112" s="163"/>
      <c r="E112" s="154">
        <v>0</v>
      </c>
      <c r="F112" s="117">
        <f>IF(E110&lt;6,"",((E110-6)/12)*(G110/E110))</f>
        <v>0</v>
      </c>
      <c r="G112" s="97">
        <f>F112</f>
        <v>0</v>
      </c>
      <c r="H112" s="164"/>
      <c r="I112" s="101" t="s">
        <v>517</v>
      </c>
      <c r="J112" s="101" t="str">
        <f>VLOOKUP(I112,Presupuesto!$B$11:$C$565,2,0)</f>
        <v>DECIMOCUARTO MES</v>
      </c>
      <c r="K112" s="98" t="str">
        <f t="shared" si="4"/>
        <v>Posgrado</v>
      </c>
      <c r="L112" s="98" t="s">
        <v>393</v>
      </c>
    </row>
    <row r="113" spans="3:12" ht="15.75" thickBot="1" x14ac:dyDescent="0.3">
      <c r="C113" s="137" t="s">
        <v>492</v>
      </c>
      <c r="D113" s="199"/>
      <c r="E113" s="152">
        <v>12</v>
      </c>
      <c r="F113" s="303">
        <f>HLOOKUP($C113,$BZ$2:$CM$3,2,0)</f>
        <v>463.22</v>
      </c>
      <c r="G113" s="113">
        <f>D113*E113*F113</f>
        <v>0</v>
      </c>
      <c r="H113" s="166"/>
      <c r="I113" s="114" t="s">
        <v>494</v>
      </c>
      <c r="J113" s="114" t="str">
        <f>VLOOKUP(I113,Presupuesto!$B$11:$C$565,2,0)</f>
        <v>SUELDOS Y SALARIOS PERMANENTES</v>
      </c>
      <c r="K113" s="98" t="str">
        <f t="shared" si="4"/>
        <v>Posgrado</v>
      </c>
      <c r="L113" s="98" t="s">
        <v>393</v>
      </c>
    </row>
    <row r="114" spans="3:12" x14ac:dyDescent="0.25">
      <c r="C114" s="171" t="s">
        <v>58</v>
      </c>
      <c r="D114" s="163"/>
      <c r="E114" s="154">
        <v>0</v>
      </c>
      <c r="F114" s="100">
        <f>IF(E113=0,"",(G113/E113)/12*E113)</f>
        <v>0</v>
      </c>
      <c r="G114" s="97">
        <f>F114</f>
        <v>0</v>
      </c>
      <c r="H114" s="164"/>
      <c r="I114" s="116" t="s">
        <v>514</v>
      </c>
      <c r="J114" s="116" t="str">
        <f>VLOOKUP(I114,Presupuesto!$B$11:$C$565,2,0)</f>
        <v>AGUINALDO Y DECIMO CUARTO MES</v>
      </c>
      <c r="K114" s="98" t="str">
        <f t="shared" si="4"/>
        <v>Posgrado</v>
      </c>
      <c r="L114" s="98" t="s">
        <v>393</v>
      </c>
    </row>
    <row r="115" spans="3:12" ht="15.75" thickBot="1" x14ac:dyDescent="0.3">
      <c r="C115" s="172" t="s">
        <v>59</v>
      </c>
      <c r="D115" s="163"/>
      <c r="E115" s="154">
        <v>0</v>
      </c>
      <c r="F115" s="117">
        <f>IF(E113&lt;6,"",((E113-6)/12)*(G113/E113))</f>
        <v>0</v>
      </c>
      <c r="G115" s="97">
        <f>F115</f>
        <v>0</v>
      </c>
      <c r="H115" s="164"/>
      <c r="I115" s="101" t="s">
        <v>517</v>
      </c>
      <c r="J115" s="101" t="str">
        <f>VLOOKUP(I115,Presupuesto!$B$11:$C$565,2,0)</f>
        <v>DECIMOCUARTO MES</v>
      </c>
      <c r="K115" s="98" t="str">
        <f t="shared" si="4"/>
        <v>Posgrado</v>
      </c>
      <c r="L115" s="98" t="s">
        <v>393</v>
      </c>
    </row>
    <row r="116" spans="3:12" ht="15.75" thickBot="1" x14ac:dyDescent="0.3">
      <c r="C116" s="137" t="s">
        <v>493</v>
      </c>
      <c r="D116" s="199"/>
      <c r="E116" s="152">
        <v>12</v>
      </c>
      <c r="F116" s="303">
        <f>HLOOKUP($C116,$BZ$2:$CM$3,2,0)</f>
        <v>2007.3</v>
      </c>
      <c r="G116" s="113">
        <f>D116*E116*F116</f>
        <v>0</v>
      </c>
      <c r="H116" s="166"/>
      <c r="I116" s="114" t="s">
        <v>494</v>
      </c>
      <c r="J116" s="114" t="str">
        <f>VLOOKUP(I116,Presupuesto!$B$11:$C$565,2,0)</f>
        <v>SUELDOS Y SALARIOS PERMANENTES</v>
      </c>
      <c r="K116" s="98" t="str">
        <f t="shared" si="4"/>
        <v>Posgrado</v>
      </c>
      <c r="L116" s="98" t="s">
        <v>393</v>
      </c>
    </row>
    <row r="117" spans="3:12" x14ac:dyDescent="0.25">
      <c r="C117" s="171" t="s">
        <v>58</v>
      </c>
      <c r="D117" s="163"/>
      <c r="E117" s="154">
        <v>0</v>
      </c>
      <c r="F117" s="100">
        <f>IF(E116=0,"",(G116/E116)/12*E116)</f>
        <v>0</v>
      </c>
      <c r="G117" s="97">
        <f>F117</f>
        <v>0</v>
      </c>
      <c r="H117" s="164"/>
      <c r="I117" s="116" t="s">
        <v>514</v>
      </c>
      <c r="J117" s="116" t="str">
        <f>VLOOKUP(I117,Presupuesto!$B$11:$C$565,2,0)</f>
        <v>AGUINALDO Y DECIMO CUARTO MES</v>
      </c>
      <c r="K117" s="98" t="str">
        <f t="shared" si="4"/>
        <v>Posgrado</v>
      </c>
      <c r="L117" s="98" t="s">
        <v>393</v>
      </c>
    </row>
    <row r="118" spans="3:12" ht="15.75" thickBot="1" x14ac:dyDescent="0.3">
      <c r="C118" s="172" t="s">
        <v>59</v>
      </c>
      <c r="D118" s="163"/>
      <c r="E118" s="154">
        <v>0</v>
      </c>
      <c r="F118" s="117">
        <f>IF(E116&lt;6,"",((E116-6)/12)*(G116/E116))</f>
        <v>0</v>
      </c>
      <c r="G118" s="97">
        <f>F118</f>
        <v>0</v>
      </c>
      <c r="H118" s="164"/>
      <c r="I118" s="101" t="s">
        <v>517</v>
      </c>
      <c r="J118" s="101" t="str">
        <f>VLOOKUP(I118,Presupuesto!$B$11:$C$565,2,0)</f>
        <v>DECIMOCUARTO MES</v>
      </c>
      <c r="K118" s="98" t="str">
        <f t="shared" si="4"/>
        <v>Posgrado</v>
      </c>
      <c r="L118" s="98" t="s">
        <v>393</v>
      </c>
    </row>
    <row r="119" spans="3:12" ht="15.75" thickBot="1" x14ac:dyDescent="0.3">
      <c r="C119" s="140" t="s">
        <v>83</v>
      </c>
      <c r="D119" s="199"/>
      <c r="E119" s="152">
        <v>12</v>
      </c>
      <c r="F119" s="139">
        <v>30000</v>
      </c>
      <c r="G119" s="113">
        <f>D119*E119*F119</f>
        <v>0</v>
      </c>
      <c r="H119" s="166"/>
      <c r="I119" s="114" t="s">
        <v>562</v>
      </c>
      <c r="J119" s="114" t="str">
        <f>VLOOKUP(I119,Presupuesto!$B$11:$C$565,2,0)</f>
        <v>CONTRATOS ESPECIALES</v>
      </c>
      <c r="K119" s="98" t="str">
        <f t="shared" si="4"/>
        <v>Posgrado</v>
      </c>
      <c r="L119" s="98" t="s">
        <v>393</v>
      </c>
    </row>
    <row r="120" spans="3:12" x14ac:dyDescent="0.25">
      <c r="C120" s="171" t="s">
        <v>58</v>
      </c>
      <c r="D120" s="163"/>
      <c r="E120" s="154">
        <v>0</v>
      </c>
      <c r="F120" s="117">
        <f>IF(E119=0,"",(G119/E119)/12*E119)</f>
        <v>0</v>
      </c>
      <c r="G120" s="97">
        <f>F120</f>
        <v>0</v>
      </c>
      <c r="H120" s="164"/>
      <c r="I120" s="101" t="s">
        <v>562</v>
      </c>
      <c r="J120" s="101" t="str">
        <f>VLOOKUP(I120,Presupuesto!$B$11:$C$565,2,0)</f>
        <v>CONTRATOS ESPECIALES</v>
      </c>
      <c r="K120" s="98" t="str">
        <f t="shared" si="4"/>
        <v>Posgrado</v>
      </c>
      <c r="L120" s="98" t="s">
        <v>392</v>
      </c>
    </row>
    <row r="121" spans="3:12" ht="15.75" thickBot="1" x14ac:dyDescent="0.3">
      <c r="C121" s="172" t="s">
        <v>59</v>
      </c>
      <c r="D121" s="163"/>
      <c r="E121" s="154">
        <v>0</v>
      </c>
      <c r="F121" s="100">
        <f>IF(E119&lt;6,"",((E119-6)/12)*(G119/E119))</f>
        <v>0</v>
      </c>
      <c r="G121" s="97">
        <f>F121</f>
        <v>0</v>
      </c>
      <c r="H121" s="164"/>
      <c r="I121" s="101" t="s">
        <v>562</v>
      </c>
      <c r="J121" s="101" t="str">
        <f>VLOOKUP(I121,Presupuesto!$B$11:$C$565,2,0)</f>
        <v>CONTRATOS ESPECIALES</v>
      </c>
      <c r="K121" s="98" t="str">
        <f t="shared" si="4"/>
        <v>Posgrado</v>
      </c>
      <c r="L121" s="98" t="s">
        <v>397</v>
      </c>
    </row>
    <row r="122" spans="3:12" ht="15.75" thickBot="1" x14ac:dyDescent="0.3">
      <c r="C122" s="140" t="s">
        <v>60</v>
      </c>
      <c r="D122" s="199"/>
      <c r="E122" s="152">
        <v>12</v>
      </c>
      <c r="F122" s="118">
        <v>30000</v>
      </c>
      <c r="G122" s="113">
        <f>D122*E122*F122</f>
        <v>0</v>
      </c>
      <c r="H122" s="166"/>
      <c r="I122" s="114" t="s">
        <v>703</v>
      </c>
      <c r="J122" s="114" t="str">
        <f>VLOOKUP(I122,Presupuesto!$B$11:$C$565,2,0)</f>
        <v>OTROS SERVICIOS TECNICOS Y PROFESIONALES</v>
      </c>
      <c r="K122" s="98" t="str">
        <f t="shared" si="4"/>
        <v>Posgrado</v>
      </c>
      <c r="L122" s="98" t="s">
        <v>392</v>
      </c>
    </row>
    <row r="123" spans="3:12" x14ac:dyDescent="0.25">
      <c r="C123" s="171" t="s">
        <v>58</v>
      </c>
      <c r="D123" s="163"/>
      <c r="E123" s="154">
        <v>0</v>
      </c>
      <c r="F123" s="100">
        <v>0</v>
      </c>
      <c r="G123" s="97">
        <f>F123</f>
        <v>0</v>
      </c>
      <c r="H123" s="164"/>
      <c r="I123" s="101" t="s">
        <v>703</v>
      </c>
      <c r="J123" s="101" t="str">
        <f>VLOOKUP(I123,Presupuesto!$B$11:$C$565,2,0)</f>
        <v>OTROS SERVICIOS TECNICOS Y PROFESIONALES</v>
      </c>
      <c r="K123" s="98" t="str">
        <f t="shared" si="4"/>
        <v>Posgrado</v>
      </c>
      <c r="L123" s="98" t="s">
        <v>392</v>
      </c>
    </row>
    <row r="124" spans="3:12" ht="15.75" thickBot="1" x14ac:dyDescent="0.3">
      <c r="C124" s="172" t="s">
        <v>59</v>
      </c>
      <c r="D124" s="163"/>
      <c r="E124" s="154">
        <v>0</v>
      </c>
      <c r="F124" s="100">
        <v>0</v>
      </c>
      <c r="G124" s="97">
        <f>F124</f>
        <v>0</v>
      </c>
      <c r="H124" s="164"/>
      <c r="I124" s="101" t="s">
        <v>703</v>
      </c>
      <c r="J124" s="101" t="str">
        <f>VLOOKUP(I124,Presupuesto!$B$11:$C$565,2,0)</f>
        <v>OTROS SERVICIOS TECNICOS Y PROFESIONALES</v>
      </c>
      <c r="K124" s="98" t="str">
        <f t="shared" si="4"/>
        <v>Posgrado</v>
      </c>
      <c r="L124" s="98" t="s">
        <v>392</v>
      </c>
    </row>
    <row r="125" spans="3:12" ht="15.75" thickBot="1" x14ac:dyDescent="0.3">
      <c r="C125" s="140" t="s">
        <v>61</v>
      </c>
      <c r="D125" s="199">
        <v>2</v>
      </c>
      <c r="E125" s="152">
        <v>12</v>
      </c>
      <c r="F125" s="118">
        <v>15000</v>
      </c>
      <c r="G125" s="113">
        <f>D125*E125*F125</f>
        <v>360000</v>
      </c>
      <c r="H125" s="166" t="s">
        <v>1675</v>
      </c>
      <c r="I125" s="114" t="s">
        <v>494</v>
      </c>
      <c r="J125" s="114" t="str">
        <f>VLOOKUP(I125,Presupuesto!$B$11:$C$565,2,0)</f>
        <v>SUELDOS Y SALARIOS PERMANENTES</v>
      </c>
      <c r="K125" s="98" t="s">
        <v>1366</v>
      </c>
      <c r="L125" s="98" t="s">
        <v>410</v>
      </c>
    </row>
    <row r="126" spans="3:12" ht="15.75" thickBot="1" x14ac:dyDescent="0.3">
      <c r="C126" s="171" t="s">
        <v>58</v>
      </c>
      <c r="D126" s="169">
        <v>2</v>
      </c>
      <c r="E126" s="131">
        <v>2</v>
      </c>
      <c r="F126" s="119">
        <v>15000</v>
      </c>
      <c r="G126" s="113">
        <f t="shared" ref="G126:G127" si="5">D126*E126*F126</f>
        <v>60000</v>
      </c>
      <c r="H126" s="164" t="s">
        <v>1675</v>
      </c>
      <c r="I126" s="101" t="s">
        <v>514</v>
      </c>
      <c r="J126" s="101" t="str">
        <f>VLOOKUP(I126,Presupuesto!$B$11:$C$565,2,0)</f>
        <v>AGUINALDO Y DECIMO CUARTO MES</v>
      </c>
      <c r="K126" s="98" t="s">
        <v>1366</v>
      </c>
      <c r="L126" s="98" t="s">
        <v>410</v>
      </c>
    </row>
    <row r="127" spans="3:12" ht="15.75" thickBot="1" x14ac:dyDescent="0.3">
      <c r="C127" s="173" t="s">
        <v>59</v>
      </c>
      <c r="D127" s="162">
        <v>2</v>
      </c>
      <c r="E127" s="132">
        <v>1</v>
      </c>
      <c r="F127" s="105">
        <f>IF(E125&lt;6,"",((E125-6)/12)*(G125/E125))</f>
        <v>15000</v>
      </c>
      <c r="G127" s="113">
        <f t="shared" si="5"/>
        <v>30000</v>
      </c>
      <c r="H127" s="162" t="s">
        <v>1675</v>
      </c>
      <c r="I127" s="106" t="s">
        <v>517</v>
      </c>
      <c r="J127" s="124" t="str">
        <f>VLOOKUP(I127,Presupuesto!$B$11:$C$565,2,0)</f>
        <v>DECIMOCUARTO MES</v>
      </c>
      <c r="K127" s="98" t="s">
        <v>1366</v>
      </c>
      <c r="L127" s="124" t="s">
        <v>410</v>
      </c>
    </row>
    <row r="129" spans="3:12" ht="15.75" thickBot="1" x14ac:dyDescent="0.3">
      <c r="K129" s="153"/>
    </row>
    <row r="130" spans="3:12" ht="15.75" thickBot="1" x14ac:dyDescent="0.3">
      <c r="C130" s="69" t="s">
        <v>43</v>
      </c>
      <c r="D130" s="30">
        <f>SUM(G137:G187)</f>
        <v>225000</v>
      </c>
      <c r="E130" s="93"/>
      <c r="F130" s="93"/>
      <c r="G130" s="93"/>
      <c r="H130" s="76"/>
      <c r="I130" s="76"/>
      <c r="J130" s="76"/>
      <c r="K130" s="153"/>
    </row>
    <row r="131" spans="3:12" x14ac:dyDescent="0.25">
      <c r="D131" s="31"/>
      <c r="E131" s="93"/>
      <c r="F131" s="93"/>
      <c r="G131" s="93"/>
      <c r="H131" s="76"/>
      <c r="I131" s="76"/>
      <c r="J131" s="76"/>
      <c r="K131" s="153"/>
    </row>
    <row r="132" spans="3:12" x14ac:dyDescent="0.25">
      <c r="D132" s="31"/>
      <c r="E132" s="93"/>
      <c r="F132" s="93"/>
      <c r="G132" s="93"/>
      <c r="H132" s="76"/>
      <c r="I132" s="76"/>
      <c r="J132" s="76"/>
      <c r="K132" s="153"/>
    </row>
    <row r="133" spans="3:12" ht="15.75" x14ac:dyDescent="0.25">
      <c r="C133" s="202" t="s">
        <v>390</v>
      </c>
      <c r="D133" s="368" t="str">
        <f>'15. Gobernabilidad y Proceso...'!G27</f>
        <v>1.3.7</v>
      </c>
      <c r="E133" s="93"/>
      <c r="F133" s="93"/>
      <c r="G133" s="93"/>
      <c r="H133" s="76"/>
      <c r="I133" s="76"/>
      <c r="J133" s="76"/>
      <c r="K133" s="153"/>
    </row>
    <row r="134" spans="3:12" ht="18.75" x14ac:dyDescent="0.25">
      <c r="C134" s="210" t="str">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Graduados'!$F:$G,2,FALSE),IFERROR(VLOOKUP(D133,'11. Gestion Administrativa'!$F:$G,2,FALSE),IFERROR(VLOOKUP(D133,'13. Gestión Académica'!$F:$G,2,FALSE),IFERROR(VLOOKUP(D133,'9. Asegura. de la Calid. y M'!$F:$G,2,FALSE),IFERROR(VLOOKUP(D133,'6. Gestión del Conocimiento'!$F:$G,2,FALSE),IFERROR(VLOOKUP(D133,'15. Gobernabilidad y Proceso...'!$G:$H,2,FALSE),IFERROR(VLOOKUP(D133,'12. Gestión del Talento Humano'!$F:$G,2,FALSE),IFERROR(VLOOKUP(D133,'14. Internacional... de la E.S.'!$F:$G,2,FALSE),IFERROR(VLOOKUP(D133,'10. Posgrado'!$F:$G,2,FALSE),IFERROR(VLOOKUP(D133,'17. Gestión TIC'!$F:$G,2,FALSE),IFERROR(VLOOKUP(D133,'16. Desa. del Sistema Educ.Sup.'!$F:$G,2,FALSE),IFERROR(VLOOKUP(D133,'8. Cultura de Inno. Insti...'!$F:$G,2,FALSE),VLOOKUP(D133,'7. Lo Esencial de la Reforma U.'!$G:$H,2,0)))))))))))))))))</f>
        <v>1.2.3 a) Creación de Plazas para Delegaciones nuevas 1.23. b) Contratacion de un psicologo asignado para la Unidad contra el Acoso Sexual</v>
      </c>
      <c r="D134" s="31"/>
      <c r="E134" s="93"/>
      <c r="F134" s="93"/>
      <c r="G134" s="93"/>
      <c r="H134" s="76"/>
      <c r="I134" s="76"/>
      <c r="J134" s="76"/>
      <c r="K134" s="153"/>
    </row>
    <row r="135" spans="3:12" ht="15.75" thickBot="1" x14ac:dyDescent="0.3">
      <c r="C135" s="177"/>
      <c r="D135" s="31"/>
      <c r="E135" s="93"/>
      <c r="F135" s="93"/>
      <c r="G135" s="93"/>
      <c r="H135" s="76"/>
      <c r="I135" s="76"/>
      <c r="J135" s="76"/>
      <c r="K135" s="153"/>
    </row>
    <row r="136" spans="3:12" ht="30.75" thickBot="1" x14ac:dyDescent="0.3">
      <c r="C136" s="134" t="s">
        <v>44</v>
      </c>
      <c r="D136" s="138" t="s">
        <v>55</v>
      </c>
      <c r="E136" s="170" t="s">
        <v>56</v>
      </c>
      <c r="F136" s="138" t="s">
        <v>57</v>
      </c>
      <c r="G136" s="135" t="s">
        <v>27</v>
      </c>
      <c r="H136" s="133" t="s">
        <v>129</v>
      </c>
      <c r="I136" s="136" t="s">
        <v>46</v>
      </c>
      <c r="J136" s="136" t="s">
        <v>130</v>
      </c>
      <c r="K136" s="136" t="s">
        <v>408</v>
      </c>
      <c r="L136" s="136" t="s">
        <v>409</v>
      </c>
    </row>
    <row r="137" spans="3:12" ht="15.75" thickBot="1" x14ac:dyDescent="0.3">
      <c r="C137" s="137" t="s">
        <v>480</v>
      </c>
      <c r="D137" s="199"/>
      <c r="E137" s="152">
        <v>12</v>
      </c>
      <c r="F137" s="303">
        <f>HLOOKUP($C137,$BZ$2:$CM$3,2,0)</f>
        <v>43674.39</v>
      </c>
      <c r="G137" s="113">
        <f>D137*E137*F137</f>
        <v>0</v>
      </c>
      <c r="H137" s="166"/>
      <c r="I137" s="114" t="s">
        <v>494</v>
      </c>
      <c r="J137" s="114" t="str">
        <f>VLOOKUP(I137,Presupuesto!$B$11:$C$565,2,0)</f>
        <v>SUELDOS Y SALARIOS PERMANENTES</v>
      </c>
      <c r="K137" s="218" t="s">
        <v>1443</v>
      </c>
      <c r="L137" s="98" t="s">
        <v>392</v>
      </c>
    </row>
    <row r="138" spans="3:12" x14ac:dyDescent="0.25">
      <c r="C138" s="171" t="s">
        <v>58</v>
      </c>
      <c r="D138" s="163"/>
      <c r="E138" s="154">
        <v>0</v>
      </c>
      <c r="F138" s="100">
        <f>IF(E137=0,"",(G137/E137)/12*E137)</f>
        <v>0</v>
      </c>
      <c r="G138" s="97">
        <f>F138</f>
        <v>0</v>
      </c>
      <c r="H138" s="164"/>
      <c r="I138" s="116" t="s">
        <v>514</v>
      </c>
      <c r="J138" s="116" t="str">
        <f>VLOOKUP(I138,Presupuesto!$B$11:$C$565,2,0)</f>
        <v>AGUINALDO Y DECIMO CUARTO MES</v>
      </c>
      <c r="K138" s="98" t="str">
        <f t="shared" ref="K138:K169" si="6">$K$137</f>
        <v>Posgrado</v>
      </c>
      <c r="L138" s="98" t="s">
        <v>410</v>
      </c>
    </row>
    <row r="139" spans="3:12" ht="15.75" thickBot="1" x14ac:dyDescent="0.3">
      <c r="C139" s="172" t="s">
        <v>59</v>
      </c>
      <c r="D139" s="163"/>
      <c r="E139" s="154">
        <v>0</v>
      </c>
      <c r="F139" s="117">
        <f>IF(E137&lt;6,"",((E137-6)/12)*(G137/E137))</f>
        <v>0</v>
      </c>
      <c r="G139" s="97">
        <f>F139</f>
        <v>0</v>
      </c>
      <c r="H139" s="164"/>
      <c r="I139" s="101" t="s">
        <v>517</v>
      </c>
      <c r="J139" s="101" t="str">
        <f>VLOOKUP(I139,Presupuesto!$B$11:$C$565,2,0)</f>
        <v>DECIMOCUARTO MES</v>
      </c>
      <c r="K139" s="98" t="str">
        <f t="shared" si="6"/>
        <v>Posgrado</v>
      </c>
      <c r="L139" s="98" t="s">
        <v>393</v>
      </c>
    </row>
    <row r="140" spans="3:12" ht="15.75" thickBot="1" x14ac:dyDescent="0.3">
      <c r="C140" s="137" t="s">
        <v>481</v>
      </c>
      <c r="D140" s="199"/>
      <c r="E140" s="152">
        <v>12</v>
      </c>
      <c r="F140" s="303">
        <f>HLOOKUP($C140,$BZ$2:$CM$3,2,0)</f>
        <v>39703.99</v>
      </c>
      <c r="G140" s="113">
        <f>D140*E140*F140</f>
        <v>0</v>
      </c>
      <c r="H140" s="166"/>
      <c r="I140" s="114" t="s">
        <v>494</v>
      </c>
      <c r="J140" s="114" t="str">
        <f>VLOOKUP(I140,Presupuesto!$B$11:$C$565,2,0)</f>
        <v>SUELDOS Y SALARIOS PERMANENTES</v>
      </c>
      <c r="K140" s="98" t="str">
        <f t="shared" si="6"/>
        <v>Posgrado</v>
      </c>
      <c r="L140" s="98" t="s">
        <v>393</v>
      </c>
    </row>
    <row r="141" spans="3:12" x14ac:dyDescent="0.25">
      <c r="C141" s="171" t="s">
        <v>58</v>
      </c>
      <c r="D141" s="163"/>
      <c r="E141" s="154">
        <v>0</v>
      </c>
      <c r="F141" s="100">
        <f>IF(E140=0,"",(G140/E140)/12*E140)</f>
        <v>0</v>
      </c>
      <c r="G141" s="97">
        <f>F141</f>
        <v>0</v>
      </c>
      <c r="H141" s="164"/>
      <c r="I141" s="116" t="s">
        <v>514</v>
      </c>
      <c r="J141" s="116" t="str">
        <f>VLOOKUP(I141,Presupuesto!$B$11:$C$565,2,0)</f>
        <v>AGUINALDO Y DECIMO CUARTO MES</v>
      </c>
      <c r="K141" s="98" t="str">
        <f t="shared" si="6"/>
        <v>Posgrado</v>
      </c>
      <c r="L141" s="98" t="s">
        <v>393</v>
      </c>
    </row>
    <row r="142" spans="3:12" ht="15.75" thickBot="1" x14ac:dyDescent="0.3">
      <c r="C142" s="172" t="s">
        <v>59</v>
      </c>
      <c r="D142" s="163"/>
      <c r="E142" s="154">
        <v>0</v>
      </c>
      <c r="F142" s="117">
        <f>IF(E140&lt;6,"",((E140-6)/12)*(G140/E140))</f>
        <v>0</v>
      </c>
      <c r="G142" s="97">
        <f>F142</f>
        <v>0</v>
      </c>
      <c r="H142" s="164"/>
      <c r="I142" s="101" t="s">
        <v>517</v>
      </c>
      <c r="J142" s="101" t="str">
        <f>VLOOKUP(I142,Presupuesto!$B$11:$C$565,2,0)</f>
        <v>DECIMOCUARTO MES</v>
      </c>
      <c r="K142" s="98" t="str">
        <f t="shared" si="6"/>
        <v>Posgrado</v>
      </c>
      <c r="L142" s="98" t="s">
        <v>393</v>
      </c>
    </row>
    <row r="143" spans="3:12" ht="15.75" thickBot="1" x14ac:dyDescent="0.3">
      <c r="C143" s="137" t="s">
        <v>482</v>
      </c>
      <c r="D143" s="199"/>
      <c r="E143" s="152">
        <v>12</v>
      </c>
      <c r="F143" s="303">
        <f>HLOOKUP($C143,$BZ$2:$CM$3,2,0)</f>
        <v>35733.589999999997</v>
      </c>
      <c r="G143" s="113">
        <f>D143*E143*F143</f>
        <v>0</v>
      </c>
      <c r="H143" s="166"/>
      <c r="I143" s="114" t="s">
        <v>494</v>
      </c>
      <c r="J143" s="114" t="str">
        <f>VLOOKUP(I143,Presupuesto!$B$11:$C$565,2,0)</f>
        <v>SUELDOS Y SALARIOS PERMANENTES</v>
      </c>
      <c r="K143" s="98" t="str">
        <f t="shared" si="6"/>
        <v>Posgrado</v>
      </c>
      <c r="L143" s="98" t="s">
        <v>393</v>
      </c>
    </row>
    <row r="144" spans="3:12" x14ac:dyDescent="0.25">
      <c r="C144" s="171" t="s">
        <v>58</v>
      </c>
      <c r="D144" s="163"/>
      <c r="E144" s="154">
        <v>0</v>
      </c>
      <c r="F144" s="100">
        <f>IF(E143=0,"",(G143/E143)/12*E143)</f>
        <v>0</v>
      </c>
      <c r="G144" s="97">
        <f>F144</f>
        <v>0</v>
      </c>
      <c r="H144" s="164"/>
      <c r="I144" s="116" t="s">
        <v>514</v>
      </c>
      <c r="J144" s="116" t="str">
        <f>VLOOKUP(I144,Presupuesto!$B$11:$C$565,2,0)</f>
        <v>AGUINALDO Y DECIMO CUARTO MES</v>
      </c>
      <c r="K144" s="98" t="str">
        <f t="shared" si="6"/>
        <v>Posgrado</v>
      </c>
      <c r="L144" s="98" t="s">
        <v>393</v>
      </c>
    </row>
    <row r="145" spans="3:12" ht="15.75" thickBot="1" x14ac:dyDescent="0.3">
      <c r="C145" s="172" t="s">
        <v>59</v>
      </c>
      <c r="D145" s="163"/>
      <c r="E145" s="154">
        <v>0</v>
      </c>
      <c r="F145" s="117">
        <f>IF(E143&lt;6,"",((E143-6)/12)*(G143/E143))</f>
        <v>0</v>
      </c>
      <c r="G145" s="97">
        <f>F145</f>
        <v>0</v>
      </c>
      <c r="H145" s="164"/>
      <c r="I145" s="101" t="s">
        <v>517</v>
      </c>
      <c r="J145" s="101" t="str">
        <f>VLOOKUP(I145,Presupuesto!$B$11:$C$565,2,0)</f>
        <v>DECIMOCUARTO MES</v>
      </c>
      <c r="K145" s="98" t="str">
        <f t="shared" si="6"/>
        <v>Posgrado</v>
      </c>
      <c r="L145" s="98" t="s">
        <v>393</v>
      </c>
    </row>
    <row r="146" spans="3:12" ht="15.75" thickBot="1" x14ac:dyDescent="0.3">
      <c r="C146" s="137" t="s">
        <v>483</v>
      </c>
      <c r="D146" s="199"/>
      <c r="E146" s="152">
        <v>12</v>
      </c>
      <c r="F146" s="303">
        <f>HLOOKUP($C146,$BZ$2:$CM$3,2,0)</f>
        <v>31763.19</v>
      </c>
      <c r="G146" s="113">
        <f>D146*E146*F146</f>
        <v>0</v>
      </c>
      <c r="H146" s="166"/>
      <c r="I146" s="114" t="s">
        <v>494</v>
      </c>
      <c r="J146" s="114" t="str">
        <f>VLOOKUP(I146,Presupuesto!$B$11:$C$565,2,0)</f>
        <v>SUELDOS Y SALARIOS PERMANENTES</v>
      </c>
      <c r="K146" s="98" t="str">
        <f t="shared" si="6"/>
        <v>Posgrado</v>
      </c>
      <c r="L146" s="98" t="s">
        <v>393</v>
      </c>
    </row>
    <row r="147" spans="3:12" x14ac:dyDescent="0.25">
      <c r="C147" s="171" t="s">
        <v>58</v>
      </c>
      <c r="D147" s="163"/>
      <c r="E147" s="154">
        <v>0</v>
      </c>
      <c r="F147" s="100">
        <f>IF(E146=0,"",(G146/E146)/12*E146)</f>
        <v>0</v>
      </c>
      <c r="G147" s="97">
        <f>F147</f>
        <v>0</v>
      </c>
      <c r="H147" s="164"/>
      <c r="I147" s="116" t="s">
        <v>514</v>
      </c>
      <c r="J147" s="116" t="str">
        <f>VLOOKUP(I147,Presupuesto!$B$11:$C$565,2,0)</f>
        <v>AGUINALDO Y DECIMO CUARTO MES</v>
      </c>
      <c r="K147" s="98" t="str">
        <f t="shared" si="6"/>
        <v>Posgrado</v>
      </c>
      <c r="L147" s="98" t="s">
        <v>393</v>
      </c>
    </row>
    <row r="148" spans="3:12" ht="15.75" thickBot="1" x14ac:dyDescent="0.3">
      <c r="C148" s="172" t="s">
        <v>59</v>
      </c>
      <c r="D148" s="163"/>
      <c r="E148" s="154">
        <v>0</v>
      </c>
      <c r="F148" s="117">
        <f>IF(E146&lt;6,"",((E146-6)/12)*(G146/E146))</f>
        <v>0</v>
      </c>
      <c r="G148" s="97">
        <f>F148</f>
        <v>0</v>
      </c>
      <c r="H148" s="164"/>
      <c r="I148" s="101" t="s">
        <v>517</v>
      </c>
      <c r="J148" s="101" t="str">
        <f>VLOOKUP(I148,Presupuesto!$B$11:$C$565,2,0)</f>
        <v>DECIMOCUARTO MES</v>
      </c>
      <c r="K148" s="98" t="str">
        <f t="shared" si="6"/>
        <v>Posgrado</v>
      </c>
      <c r="L148" s="98" t="s">
        <v>393</v>
      </c>
    </row>
    <row r="149" spans="3:12" ht="15.75" thickBot="1" x14ac:dyDescent="0.3">
      <c r="C149" s="137" t="s">
        <v>484</v>
      </c>
      <c r="D149" s="199"/>
      <c r="E149" s="152">
        <v>12</v>
      </c>
      <c r="F149" s="303">
        <f>HLOOKUP($C149,$BZ$2:$CM$3,2,0)</f>
        <v>29777.99</v>
      </c>
      <c r="G149" s="113">
        <f>D149*E149*F149</f>
        <v>0</v>
      </c>
      <c r="H149" s="166"/>
      <c r="I149" s="114" t="s">
        <v>494</v>
      </c>
      <c r="J149" s="114" t="str">
        <f>VLOOKUP(I149,Presupuesto!$B$11:$C$565,2,0)</f>
        <v>SUELDOS Y SALARIOS PERMANENTES</v>
      </c>
      <c r="K149" s="98" t="str">
        <f t="shared" si="6"/>
        <v>Posgrado</v>
      </c>
      <c r="L149" s="98" t="s">
        <v>393</v>
      </c>
    </row>
    <row r="150" spans="3:12" x14ac:dyDescent="0.25">
      <c r="C150" s="171" t="s">
        <v>58</v>
      </c>
      <c r="D150" s="163"/>
      <c r="E150" s="154">
        <v>0</v>
      </c>
      <c r="F150" s="100">
        <f>IF(E149=0,"",(G149/E149)/12*E149)</f>
        <v>0</v>
      </c>
      <c r="G150" s="97">
        <f>F150</f>
        <v>0</v>
      </c>
      <c r="H150" s="164"/>
      <c r="I150" s="116" t="s">
        <v>514</v>
      </c>
      <c r="J150" s="116" t="str">
        <f>VLOOKUP(I150,Presupuesto!$B$11:$C$565,2,0)</f>
        <v>AGUINALDO Y DECIMO CUARTO MES</v>
      </c>
      <c r="K150" s="98" t="str">
        <f t="shared" si="6"/>
        <v>Posgrado</v>
      </c>
      <c r="L150" s="98" t="s">
        <v>393</v>
      </c>
    </row>
    <row r="151" spans="3:12" ht="15.75" thickBot="1" x14ac:dyDescent="0.3">
      <c r="C151" s="172" t="s">
        <v>59</v>
      </c>
      <c r="D151" s="163"/>
      <c r="E151" s="154">
        <v>0</v>
      </c>
      <c r="F151" s="117">
        <f>IF(E149&lt;6,"",((E149-6)/12)*(G149/E149))</f>
        <v>0</v>
      </c>
      <c r="G151" s="97">
        <f>F151</f>
        <v>0</v>
      </c>
      <c r="H151" s="164"/>
      <c r="I151" s="101" t="s">
        <v>517</v>
      </c>
      <c r="J151" s="101" t="str">
        <f>VLOOKUP(I151,Presupuesto!$B$11:$C$565,2,0)</f>
        <v>DECIMOCUARTO MES</v>
      </c>
      <c r="K151" s="98" t="str">
        <f t="shared" si="6"/>
        <v>Posgrado</v>
      </c>
      <c r="L151" s="98" t="s">
        <v>393</v>
      </c>
    </row>
    <row r="152" spans="3:12" ht="15.75" thickBot="1" x14ac:dyDescent="0.3">
      <c r="C152" s="137" t="s">
        <v>485</v>
      </c>
      <c r="D152" s="199"/>
      <c r="E152" s="152">
        <v>12</v>
      </c>
      <c r="F152" s="303">
        <f>HLOOKUP($C152,$BZ$2:$CM$3,2,0)</f>
        <v>27792.79</v>
      </c>
      <c r="G152" s="113">
        <f>D152*E152*F152</f>
        <v>0</v>
      </c>
      <c r="H152" s="166"/>
      <c r="I152" s="114" t="s">
        <v>494</v>
      </c>
      <c r="J152" s="114" t="str">
        <f>VLOOKUP(I152,Presupuesto!$B$11:$C$565,2,0)</f>
        <v>SUELDOS Y SALARIOS PERMANENTES</v>
      </c>
      <c r="K152" s="98" t="str">
        <f t="shared" si="6"/>
        <v>Posgrado</v>
      </c>
      <c r="L152" s="98" t="s">
        <v>393</v>
      </c>
    </row>
    <row r="153" spans="3:12" x14ac:dyDescent="0.25">
      <c r="C153" s="171" t="s">
        <v>58</v>
      </c>
      <c r="D153" s="163"/>
      <c r="E153" s="154">
        <v>0</v>
      </c>
      <c r="F153" s="100">
        <f>IF(E152=0,"",(G152/E152)/12*E152)</f>
        <v>0</v>
      </c>
      <c r="G153" s="97">
        <f>F153</f>
        <v>0</v>
      </c>
      <c r="H153" s="164"/>
      <c r="I153" s="116" t="s">
        <v>514</v>
      </c>
      <c r="J153" s="116" t="str">
        <f>VLOOKUP(I153,Presupuesto!$B$11:$C$565,2,0)</f>
        <v>AGUINALDO Y DECIMO CUARTO MES</v>
      </c>
      <c r="K153" s="98" t="str">
        <f t="shared" si="6"/>
        <v>Posgrado</v>
      </c>
      <c r="L153" s="98" t="s">
        <v>393</v>
      </c>
    </row>
    <row r="154" spans="3:12" ht="15.75" thickBot="1" x14ac:dyDescent="0.3">
      <c r="C154" s="172" t="s">
        <v>59</v>
      </c>
      <c r="D154" s="163"/>
      <c r="E154" s="154">
        <v>0</v>
      </c>
      <c r="F154" s="117">
        <f>IF(E152&lt;6,"",((E152-6)/12)*(G152/E152))</f>
        <v>0</v>
      </c>
      <c r="G154" s="97">
        <f>F154</f>
        <v>0</v>
      </c>
      <c r="H154" s="164"/>
      <c r="I154" s="101" t="s">
        <v>517</v>
      </c>
      <c r="J154" s="101" t="str">
        <f>VLOOKUP(I154,Presupuesto!$B$11:$C$565,2,0)</f>
        <v>DECIMOCUARTO MES</v>
      </c>
      <c r="K154" s="98" t="str">
        <f t="shared" si="6"/>
        <v>Posgrado</v>
      </c>
      <c r="L154" s="98" t="s">
        <v>393</v>
      </c>
    </row>
    <row r="155" spans="3:12" ht="15.75" thickBot="1" x14ac:dyDescent="0.3">
      <c r="C155" s="137" t="s">
        <v>486</v>
      </c>
      <c r="D155" s="199"/>
      <c r="E155" s="152">
        <v>12</v>
      </c>
      <c r="F155" s="303">
        <f>HLOOKUP($C155,$BZ$2:$CM$3,2,0)</f>
        <v>18859.39</v>
      </c>
      <c r="G155" s="113">
        <f>D155*E155*F155</f>
        <v>0</v>
      </c>
      <c r="H155" s="166"/>
      <c r="I155" s="114" t="s">
        <v>494</v>
      </c>
      <c r="J155" s="114" t="str">
        <f>VLOOKUP(I155,Presupuesto!$B$11:$C$565,2,0)</f>
        <v>SUELDOS Y SALARIOS PERMANENTES</v>
      </c>
      <c r="K155" s="98" t="str">
        <f t="shared" si="6"/>
        <v>Posgrado</v>
      </c>
      <c r="L155" s="98" t="s">
        <v>393</v>
      </c>
    </row>
    <row r="156" spans="3:12" x14ac:dyDescent="0.25">
      <c r="C156" s="171" t="s">
        <v>58</v>
      </c>
      <c r="D156" s="163"/>
      <c r="E156" s="154">
        <v>0</v>
      </c>
      <c r="F156" s="100">
        <f>IF(E155=0,"",(G155/E155)/12*E155)</f>
        <v>0</v>
      </c>
      <c r="G156" s="97">
        <f>F156</f>
        <v>0</v>
      </c>
      <c r="H156" s="164"/>
      <c r="I156" s="116" t="s">
        <v>514</v>
      </c>
      <c r="J156" s="116" t="str">
        <f>VLOOKUP(I156,Presupuesto!$B$11:$C$565,2,0)</f>
        <v>AGUINALDO Y DECIMO CUARTO MES</v>
      </c>
      <c r="K156" s="98" t="str">
        <f t="shared" si="6"/>
        <v>Posgrado</v>
      </c>
      <c r="L156" s="98" t="s">
        <v>393</v>
      </c>
    </row>
    <row r="157" spans="3:12" ht="15.75" thickBot="1" x14ac:dyDescent="0.3">
      <c r="C157" s="172" t="s">
        <v>59</v>
      </c>
      <c r="D157" s="163"/>
      <c r="E157" s="154">
        <v>0</v>
      </c>
      <c r="F157" s="117">
        <f>IF(E155&lt;6,"",((E155-6)/12)*(G155/E155))</f>
        <v>0</v>
      </c>
      <c r="G157" s="97">
        <f>F157</f>
        <v>0</v>
      </c>
      <c r="H157" s="164"/>
      <c r="I157" s="101" t="s">
        <v>517</v>
      </c>
      <c r="J157" s="101" t="str">
        <f>VLOOKUP(I157,Presupuesto!$B$11:$C$565,2,0)</f>
        <v>DECIMOCUARTO MES</v>
      </c>
      <c r="K157" s="98" t="str">
        <f t="shared" si="6"/>
        <v>Posgrado</v>
      </c>
      <c r="L157" s="98" t="s">
        <v>393</v>
      </c>
    </row>
    <row r="158" spans="3:12" ht="15.75" thickBot="1" x14ac:dyDescent="0.3">
      <c r="C158" s="137" t="s">
        <v>487</v>
      </c>
      <c r="D158" s="199"/>
      <c r="E158" s="152">
        <v>12</v>
      </c>
      <c r="F158" s="303">
        <f>HLOOKUP($C158,$BZ$2:$CM$3,2,0)</f>
        <v>17866.8</v>
      </c>
      <c r="G158" s="113">
        <f>D158*E158*F158</f>
        <v>0</v>
      </c>
      <c r="H158" s="166"/>
      <c r="I158" s="114" t="s">
        <v>494</v>
      </c>
      <c r="J158" s="114" t="str">
        <f>VLOOKUP(I158,Presupuesto!$B$11:$C$565,2,0)</f>
        <v>SUELDOS Y SALARIOS PERMANENTES</v>
      </c>
      <c r="K158" s="98" t="str">
        <f t="shared" si="6"/>
        <v>Posgrado</v>
      </c>
      <c r="L158" s="98" t="s">
        <v>393</v>
      </c>
    </row>
    <row r="159" spans="3:12" x14ac:dyDescent="0.25">
      <c r="C159" s="171" t="s">
        <v>58</v>
      </c>
      <c r="D159" s="163"/>
      <c r="E159" s="154">
        <v>0</v>
      </c>
      <c r="F159" s="100">
        <f>IF(E158=0,"",(G158/E158)/12*E158)</f>
        <v>0</v>
      </c>
      <c r="G159" s="97">
        <f>F159</f>
        <v>0</v>
      </c>
      <c r="H159" s="164"/>
      <c r="I159" s="116" t="s">
        <v>514</v>
      </c>
      <c r="J159" s="116" t="str">
        <f>VLOOKUP(I159,Presupuesto!$B$11:$C$565,2,0)</f>
        <v>AGUINALDO Y DECIMO CUARTO MES</v>
      </c>
      <c r="K159" s="98" t="str">
        <f t="shared" si="6"/>
        <v>Posgrado</v>
      </c>
      <c r="L159" s="98" t="s">
        <v>393</v>
      </c>
    </row>
    <row r="160" spans="3:12" ht="15.75" thickBot="1" x14ac:dyDescent="0.3">
      <c r="C160" s="172" t="s">
        <v>59</v>
      </c>
      <c r="D160" s="163"/>
      <c r="E160" s="154">
        <v>0</v>
      </c>
      <c r="F160" s="117">
        <f>IF(E158&lt;6,"",((E158-6)/12)*(G158/E158))</f>
        <v>0</v>
      </c>
      <c r="G160" s="97">
        <f>F160</f>
        <v>0</v>
      </c>
      <c r="H160" s="164"/>
      <c r="I160" s="101" t="s">
        <v>517</v>
      </c>
      <c r="J160" s="101" t="str">
        <f>VLOOKUP(I160,Presupuesto!$B$11:$C$565,2,0)</f>
        <v>DECIMOCUARTO MES</v>
      </c>
      <c r="K160" s="98" t="str">
        <f t="shared" si="6"/>
        <v>Posgrado</v>
      </c>
      <c r="L160" s="98" t="s">
        <v>393</v>
      </c>
    </row>
    <row r="161" spans="3:12" ht="15.75" thickBot="1" x14ac:dyDescent="0.3">
      <c r="C161" s="137" t="s">
        <v>488</v>
      </c>
      <c r="D161" s="199"/>
      <c r="E161" s="152">
        <v>12</v>
      </c>
      <c r="F161" s="303">
        <f>HLOOKUP($C161,$BZ$2:$CM$3,2,0)</f>
        <v>13896.4</v>
      </c>
      <c r="G161" s="113">
        <f>D161*E161*F161</f>
        <v>0</v>
      </c>
      <c r="H161" s="166"/>
      <c r="I161" s="114" t="s">
        <v>494</v>
      </c>
      <c r="J161" s="114" t="str">
        <f>VLOOKUP(I161,Presupuesto!$B$11:$C$565,2,0)</f>
        <v>SUELDOS Y SALARIOS PERMANENTES</v>
      </c>
      <c r="K161" s="98" t="str">
        <f t="shared" si="6"/>
        <v>Posgrado</v>
      </c>
      <c r="L161" s="98" t="s">
        <v>393</v>
      </c>
    </row>
    <row r="162" spans="3:12" x14ac:dyDescent="0.25">
      <c r="C162" s="171" t="s">
        <v>58</v>
      </c>
      <c r="D162" s="163"/>
      <c r="E162" s="154">
        <v>0</v>
      </c>
      <c r="F162" s="100">
        <f>IF(E161=0,"",(G161/E161)/12*E161)</f>
        <v>0</v>
      </c>
      <c r="G162" s="97">
        <f>F162</f>
        <v>0</v>
      </c>
      <c r="H162" s="164"/>
      <c r="I162" s="116" t="s">
        <v>514</v>
      </c>
      <c r="J162" s="116" t="str">
        <f>VLOOKUP(I162,Presupuesto!$B$11:$C$565,2,0)</f>
        <v>AGUINALDO Y DECIMO CUARTO MES</v>
      </c>
      <c r="K162" s="98" t="str">
        <f t="shared" si="6"/>
        <v>Posgrado</v>
      </c>
      <c r="L162" s="98" t="s">
        <v>393</v>
      </c>
    </row>
    <row r="163" spans="3:12" ht="15.75" thickBot="1" x14ac:dyDescent="0.3">
      <c r="C163" s="172" t="s">
        <v>59</v>
      </c>
      <c r="D163" s="163"/>
      <c r="E163" s="154">
        <v>0</v>
      </c>
      <c r="F163" s="117">
        <f>IF(E161&lt;6,"",((E161-6)/12)*(G161/E161))</f>
        <v>0</v>
      </c>
      <c r="G163" s="97">
        <f>F163</f>
        <v>0</v>
      </c>
      <c r="H163" s="164"/>
      <c r="I163" s="101" t="s">
        <v>517</v>
      </c>
      <c r="J163" s="101" t="str">
        <f>VLOOKUP(I163,Presupuesto!$B$11:$C$565,2,0)</f>
        <v>DECIMOCUARTO MES</v>
      </c>
      <c r="K163" s="98" t="str">
        <f t="shared" si="6"/>
        <v>Posgrado</v>
      </c>
      <c r="L163" s="98" t="s">
        <v>393</v>
      </c>
    </row>
    <row r="164" spans="3:12" ht="15.75" thickBot="1" x14ac:dyDescent="0.3">
      <c r="C164" s="137" t="s">
        <v>489</v>
      </c>
      <c r="D164" s="199"/>
      <c r="E164" s="152">
        <v>12</v>
      </c>
      <c r="F164" s="303">
        <f>HLOOKUP($C164,$BZ$2:$CM$3,2,0)</f>
        <v>15004.09</v>
      </c>
      <c r="G164" s="113">
        <f>D164*E164*F164</f>
        <v>0</v>
      </c>
      <c r="H164" s="166"/>
      <c r="I164" s="114" t="s">
        <v>494</v>
      </c>
      <c r="J164" s="114" t="str">
        <f>VLOOKUP(I164,Presupuesto!$B$11:$C$565,2,0)</f>
        <v>SUELDOS Y SALARIOS PERMANENTES</v>
      </c>
      <c r="K164" s="98" t="str">
        <f t="shared" si="6"/>
        <v>Posgrado</v>
      </c>
      <c r="L164" s="98" t="s">
        <v>393</v>
      </c>
    </row>
    <row r="165" spans="3:12" x14ac:dyDescent="0.25">
      <c r="C165" s="171" t="s">
        <v>58</v>
      </c>
      <c r="D165" s="163"/>
      <c r="E165" s="154">
        <v>0</v>
      </c>
      <c r="F165" s="100">
        <f>IF(E164=0,"",(G164/E164)/12*E164)</f>
        <v>0</v>
      </c>
      <c r="G165" s="97">
        <f>F165</f>
        <v>0</v>
      </c>
      <c r="H165" s="164"/>
      <c r="I165" s="116" t="s">
        <v>514</v>
      </c>
      <c r="J165" s="116" t="str">
        <f>VLOOKUP(I165,Presupuesto!$B$11:$C$565,2,0)</f>
        <v>AGUINALDO Y DECIMO CUARTO MES</v>
      </c>
      <c r="K165" s="98" t="str">
        <f t="shared" si="6"/>
        <v>Posgrado</v>
      </c>
      <c r="L165" s="98" t="s">
        <v>393</v>
      </c>
    </row>
    <row r="166" spans="3:12" ht="15.75" thickBot="1" x14ac:dyDescent="0.3">
      <c r="C166" s="172" t="s">
        <v>59</v>
      </c>
      <c r="D166" s="163"/>
      <c r="E166" s="154">
        <v>0</v>
      </c>
      <c r="F166" s="117">
        <f>IF(E164&lt;6,"",((E164-6)/12)*(G164/E164))</f>
        <v>0</v>
      </c>
      <c r="G166" s="97">
        <f>F166</f>
        <v>0</v>
      </c>
      <c r="H166" s="164"/>
      <c r="I166" s="101" t="s">
        <v>517</v>
      </c>
      <c r="J166" s="101" t="str">
        <f>VLOOKUP(I166,Presupuesto!$B$11:$C$565,2,0)</f>
        <v>DECIMOCUARTO MES</v>
      </c>
      <c r="K166" s="98" t="str">
        <f t="shared" si="6"/>
        <v>Posgrado</v>
      </c>
      <c r="L166" s="98" t="s">
        <v>393</v>
      </c>
    </row>
    <row r="167" spans="3:12" ht="15.75" thickBot="1" x14ac:dyDescent="0.3">
      <c r="C167" s="137" t="s">
        <v>490</v>
      </c>
      <c r="D167" s="199"/>
      <c r="E167" s="152">
        <v>12</v>
      </c>
      <c r="F167" s="303">
        <f>HLOOKUP($C167,$BZ$2:$CM$3,2,0)</f>
        <v>13238.9</v>
      </c>
      <c r="G167" s="113">
        <f>D167*E167*F167</f>
        <v>0</v>
      </c>
      <c r="H167" s="166"/>
      <c r="I167" s="114" t="s">
        <v>494</v>
      </c>
      <c r="J167" s="114" t="str">
        <f>VLOOKUP(I167,Presupuesto!$B$11:$C$565,2,0)</f>
        <v>SUELDOS Y SALARIOS PERMANENTES</v>
      </c>
      <c r="K167" s="98" t="str">
        <f t="shared" si="6"/>
        <v>Posgrado</v>
      </c>
      <c r="L167" s="98" t="s">
        <v>393</v>
      </c>
    </row>
    <row r="168" spans="3:12" x14ac:dyDescent="0.25">
      <c r="C168" s="171" t="s">
        <v>58</v>
      </c>
      <c r="D168" s="163"/>
      <c r="E168" s="154">
        <v>0</v>
      </c>
      <c r="F168" s="100">
        <f>IF(E167=0,"",(G167/E167)/12*E167)</f>
        <v>0</v>
      </c>
      <c r="G168" s="97">
        <f>F168</f>
        <v>0</v>
      </c>
      <c r="H168" s="164"/>
      <c r="I168" s="116" t="s">
        <v>514</v>
      </c>
      <c r="J168" s="116" t="str">
        <f>VLOOKUP(I168,Presupuesto!$B$11:$C$565,2,0)</f>
        <v>AGUINALDO Y DECIMO CUARTO MES</v>
      </c>
      <c r="K168" s="98" t="str">
        <f t="shared" si="6"/>
        <v>Posgrado</v>
      </c>
      <c r="L168" s="98" t="s">
        <v>393</v>
      </c>
    </row>
    <row r="169" spans="3:12" ht="15.75" thickBot="1" x14ac:dyDescent="0.3">
      <c r="C169" s="172" t="s">
        <v>59</v>
      </c>
      <c r="D169" s="163"/>
      <c r="E169" s="154">
        <v>0</v>
      </c>
      <c r="F169" s="117">
        <f>IF(E167&lt;6,"",((E167-6)/12)*(G167/E167))</f>
        <v>0</v>
      </c>
      <c r="G169" s="97">
        <f>F169</f>
        <v>0</v>
      </c>
      <c r="H169" s="164"/>
      <c r="I169" s="101" t="s">
        <v>517</v>
      </c>
      <c r="J169" s="101" t="str">
        <f>VLOOKUP(I169,Presupuesto!$B$11:$C$565,2,0)</f>
        <v>DECIMOCUARTO MES</v>
      </c>
      <c r="K169" s="98" t="str">
        <f t="shared" si="6"/>
        <v>Posgrado</v>
      </c>
      <c r="L169" s="98" t="s">
        <v>393</v>
      </c>
    </row>
    <row r="170" spans="3:12" ht="15.75" thickBot="1" x14ac:dyDescent="0.3">
      <c r="C170" s="137" t="s">
        <v>491</v>
      </c>
      <c r="D170" s="199"/>
      <c r="E170" s="152">
        <v>12</v>
      </c>
      <c r="F170" s="303">
        <f>HLOOKUP($C170,$BZ$2:$CM$3,2,0)</f>
        <v>12356.31</v>
      </c>
      <c r="G170" s="113">
        <f>D170*E170*F170</f>
        <v>0</v>
      </c>
      <c r="H170" s="166"/>
      <c r="I170" s="114" t="s">
        <v>494</v>
      </c>
      <c r="J170" s="114" t="str">
        <f>VLOOKUP(I170,Presupuesto!$B$11:$C$565,2,0)</f>
        <v>SUELDOS Y SALARIOS PERMANENTES</v>
      </c>
      <c r="K170" s="98" t="str">
        <f t="shared" ref="K170:K184" si="7">$K$137</f>
        <v>Posgrado</v>
      </c>
      <c r="L170" s="98" t="s">
        <v>393</v>
      </c>
    </row>
    <row r="171" spans="3:12" x14ac:dyDescent="0.25">
      <c r="C171" s="171" t="s">
        <v>58</v>
      </c>
      <c r="D171" s="163"/>
      <c r="E171" s="154">
        <v>0</v>
      </c>
      <c r="F171" s="100">
        <f>IF(E170=0,"",(G170/E170)/12*E170)</f>
        <v>0</v>
      </c>
      <c r="G171" s="97">
        <f>F171</f>
        <v>0</v>
      </c>
      <c r="H171" s="164"/>
      <c r="I171" s="116" t="s">
        <v>514</v>
      </c>
      <c r="J171" s="116" t="str">
        <f>VLOOKUP(I171,Presupuesto!$B$11:$C$565,2,0)</f>
        <v>AGUINALDO Y DECIMO CUARTO MES</v>
      </c>
      <c r="K171" s="98" t="str">
        <f t="shared" si="7"/>
        <v>Posgrado</v>
      </c>
      <c r="L171" s="98" t="s">
        <v>393</v>
      </c>
    </row>
    <row r="172" spans="3:12" ht="15.75" thickBot="1" x14ac:dyDescent="0.3">
      <c r="C172" s="172" t="s">
        <v>59</v>
      </c>
      <c r="D172" s="163"/>
      <c r="E172" s="154">
        <v>0</v>
      </c>
      <c r="F172" s="117">
        <f>IF(E170&lt;6,"",((E170-6)/12)*(G170/E170))</f>
        <v>0</v>
      </c>
      <c r="G172" s="97">
        <f>F172</f>
        <v>0</v>
      </c>
      <c r="H172" s="164"/>
      <c r="I172" s="101" t="s">
        <v>517</v>
      </c>
      <c r="J172" s="101" t="str">
        <f>VLOOKUP(I172,Presupuesto!$B$11:$C$565,2,0)</f>
        <v>DECIMOCUARTO MES</v>
      </c>
      <c r="K172" s="98" t="str">
        <f t="shared" si="7"/>
        <v>Posgrado</v>
      </c>
      <c r="L172" s="98" t="s">
        <v>393</v>
      </c>
    </row>
    <row r="173" spans="3:12" ht="15.75" thickBot="1" x14ac:dyDescent="0.3">
      <c r="C173" s="137" t="s">
        <v>492</v>
      </c>
      <c r="D173" s="199"/>
      <c r="E173" s="152">
        <v>12</v>
      </c>
      <c r="F173" s="303">
        <f>HLOOKUP($C173,$BZ$2:$CM$3,2,0)</f>
        <v>463.22</v>
      </c>
      <c r="G173" s="113">
        <f>D173*E173*F173</f>
        <v>0</v>
      </c>
      <c r="H173" s="166"/>
      <c r="I173" s="114" t="s">
        <v>494</v>
      </c>
      <c r="J173" s="114" t="str">
        <f>VLOOKUP(I173,Presupuesto!$B$11:$C$565,2,0)</f>
        <v>SUELDOS Y SALARIOS PERMANENTES</v>
      </c>
      <c r="K173" s="98" t="str">
        <f t="shared" si="7"/>
        <v>Posgrado</v>
      </c>
      <c r="L173" s="98" t="s">
        <v>393</v>
      </c>
    </row>
    <row r="174" spans="3:12" x14ac:dyDescent="0.25">
      <c r="C174" s="171" t="s">
        <v>58</v>
      </c>
      <c r="D174" s="163"/>
      <c r="E174" s="154">
        <v>0</v>
      </c>
      <c r="F174" s="100">
        <f>IF(E173=0,"",(G173/E173)/12*E173)</f>
        <v>0</v>
      </c>
      <c r="G174" s="97">
        <f>F174</f>
        <v>0</v>
      </c>
      <c r="H174" s="164"/>
      <c r="I174" s="116" t="s">
        <v>514</v>
      </c>
      <c r="J174" s="116" t="str">
        <f>VLOOKUP(I174,Presupuesto!$B$11:$C$565,2,0)</f>
        <v>AGUINALDO Y DECIMO CUARTO MES</v>
      </c>
      <c r="K174" s="98" t="str">
        <f t="shared" si="7"/>
        <v>Posgrado</v>
      </c>
      <c r="L174" s="98" t="s">
        <v>393</v>
      </c>
    </row>
    <row r="175" spans="3:12" ht="15.75" thickBot="1" x14ac:dyDescent="0.3">
      <c r="C175" s="172" t="s">
        <v>59</v>
      </c>
      <c r="D175" s="163"/>
      <c r="E175" s="154">
        <v>0</v>
      </c>
      <c r="F175" s="117">
        <f>IF(E173&lt;6,"",((E173-6)/12)*(G173/E173))</f>
        <v>0</v>
      </c>
      <c r="G175" s="97">
        <f>F175</f>
        <v>0</v>
      </c>
      <c r="H175" s="164"/>
      <c r="I175" s="101" t="s">
        <v>517</v>
      </c>
      <c r="J175" s="101" t="str">
        <f>VLOOKUP(I175,Presupuesto!$B$11:$C$565,2,0)</f>
        <v>DECIMOCUARTO MES</v>
      </c>
      <c r="K175" s="98" t="str">
        <f t="shared" si="7"/>
        <v>Posgrado</v>
      </c>
      <c r="L175" s="98" t="s">
        <v>393</v>
      </c>
    </row>
    <row r="176" spans="3:12" ht="15.75" thickBot="1" x14ac:dyDescent="0.3">
      <c r="C176" s="137" t="s">
        <v>493</v>
      </c>
      <c r="D176" s="199"/>
      <c r="E176" s="152">
        <v>12</v>
      </c>
      <c r="F176" s="303">
        <f>HLOOKUP($C176,$BZ$2:$CM$3,2,0)</f>
        <v>2007.3</v>
      </c>
      <c r="G176" s="113">
        <f>D176*E176*F176</f>
        <v>0</v>
      </c>
      <c r="H176" s="166"/>
      <c r="I176" s="114" t="s">
        <v>494</v>
      </c>
      <c r="J176" s="114" t="str">
        <f>VLOOKUP(I176,Presupuesto!$B$11:$C$565,2,0)</f>
        <v>SUELDOS Y SALARIOS PERMANENTES</v>
      </c>
      <c r="K176" s="98" t="str">
        <f t="shared" si="7"/>
        <v>Posgrado</v>
      </c>
      <c r="L176" s="98" t="s">
        <v>393</v>
      </c>
    </row>
    <row r="177" spans="3:12" x14ac:dyDescent="0.25">
      <c r="C177" s="171" t="s">
        <v>58</v>
      </c>
      <c r="D177" s="163"/>
      <c r="E177" s="154">
        <v>0</v>
      </c>
      <c r="F177" s="100">
        <f>IF(E176=0,"",(G176/E176)/12*E176)</f>
        <v>0</v>
      </c>
      <c r="G177" s="97">
        <f>F177</f>
        <v>0</v>
      </c>
      <c r="H177" s="164"/>
      <c r="I177" s="116" t="s">
        <v>514</v>
      </c>
      <c r="J177" s="116" t="str">
        <f>VLOOKUP(I177,Presupuesto!$B$11:$C$565,2,0)</f>
        <v>AGUINALDO Y DECIMO CUARTO MES</v>
      </c>
      <c r="K177" s="98" t="str">
        <f t="shared" si="7"/>
        <v>Posgrado</v>
      </c>
      <c r="L177" s="98" t="s">
        <v>393</v>
      </c>
    </row>
    <row r="178" spans="3:12" ht="15.75" thickBot="1" x14ac:dyDescent="0.3">
      <c r="C178" s="172" t="s">
        <v>59</v>
      </c>
      <c r="D178" s="163"/>
      <c r="E178" s="154">
        <v>0</v>
      </c>
      <c r="F178" s="117">
        <f>IF(E176&lt;6,"",((E176-6)/12)*(G176/E176))</f>
        <v>0</v>
      </c>
      <c r="G178" s="97">
        <f>F178</f>
        <v>0</v>
      </c>
      <c r="H178" s="164"/>
      <c r="I178" s="101" t="s">
        <v>517</v>
      </c>
      <c r="J178" s="101" t="str">
        <f>VLOOKUP(I178,Presupuesto!$B$11:$C$565,2,0)</f>
        <v>DECIMOCUARTO MES</v>
      </c>
      <c r="K178" s="98" t="str">
        <f t="shared" si="7"/>
        <v>Posgrado</v>
      </c>
      <c r="L178" s="98" t="s">
        <v>393</v>
      </c>
    </row>
    <row r="179" spans="3:12" ht="15.75" thickBot="1" x14ac:dyDescent="0.3">
      <c r="C179" s="140" t="s">
        <v>83</v>
      </c>
      <c r="D179" s="199"/>
      <c r="E179" s="152">
        <v>12</v>
      </c>
      <c r="F179" s="139">
        <v>30000</v>
      </c>
      <c r="G179" s="113">
        <f>D179*E179*F179</f>
        <v>0</v>
      </c>
      <c r="H179" s="166"/>
      <c r="I179" s="114" t="s">
        <v>562</v>
      </c>
      <c r="J179" s="114" t="str">
        <f>VLOOKUP(I179,Presupuesto!$B$11:$C$565,2,0)</f>
        <v>CONTRATOS ESPECIALES</v>
      </c>
      <c r="K179" s="98" t="str">
        <f t="shared" si="7"/>
        <v>Posgrado</v>
      </c>
      <c r="L179" s="98" t="s">
        <v>393</v>
      </c>
    </row>
    <row r="180" spans="3:12" x14ac:dyDescent="0.25">
      <c r="C180" s="171" t="s">
        <v>58</v>
      </c>
      <c r="D180" s="163"/>
      <c r="E180" s="154">
        <v>0</v>
      </c>
      <c r="F180" s="117">
        <f>IF(E179=0,"",(G179/E179)/12*E179)</f>
        <v>0</v>
      </c>
      <c r="G180" s="97">
        <f>F180</f>
        <v>0</v>
      </c>
      <c r="H180" s="164"/>
      <c r="I180" s="101" t="s">
        <v>562</v>
      </c>
      <c r="J180" s="101" t="str">
        <f>VLOOKUP(I180,Presupuesto!$B$11:$C$565,2,0)</f>
        <v>CONTRATOS ESPECIALES</v>
      </c>
      <c r="K180" s="98" t="str">
        <f t="shared" si="7"/>
        <v>Posgrado</v>
      </c>
      <c r="L180" s="98" t="s">
        <v>392</v>
      </c>
    </row>
    <row r="181" spans="3:12" ht="15.75" thickBot="1" x14ac:dyDescent="0.3">
      <c r="C181" s="172" t="s">
        <v>59</v>
      </c>
      <c r="D181" s="163"/>
      <c r="E181" s="154">
        <v>0</v>
      </c>
      <c r="F181" s="100">
        <f>IF(E179&lt;6,"",((E179-6)/12)*(G179/E179))</f>
        <v>0</v>
      </c>
      <c r="G181" s="97">
        <f>F181</f>
        <v>0</v>
      </c>
      <c r="H181" s="164"/>
      <c r="I181" s="101" t="s">
        <v>562</v>
      </c>
      <c r="J181" s="101" t="str">
        <f>VLOOKUP(I181,Presupuesto!$B$11:$C$565,2,0)</f>
        <v>CONTRATOS ESPECIALES</v>
      </c>
      <c r="K181" s="98" t="str">
        <f t="shared" si="7"/>
        <v>Posgrado</v>
      </c>
      <c r="L181" s="98" t="s">
        <v>397</v>
      </c>
    </row>
    <row r="182" spans="3:12" ht="15.75" thickBot="1" x14ac:dyDescent="0.3">
      <c r="C182" s="140" t="s">
        <v>60</v>
      </c>
      <c r="D182" s="199"/>
      <c r="E182" s="152">
        <v>12</v>
      </c>
      <c r="F182" s="118">
        <v>30000</v>
      </c>
      <c r="G182" s="113">
        <f>D182*E182*F182</f>
        <v>0</v>
      </c>
      <c r="H182" s="166"/>
      <c r="I182" s="114" t="s">
        <v>703</v>
      </c>
      <c r="J182" s="114" t="str">
        <f>VLOOKUP(I182,Presupuesto!$B$11:$C$565,2,0)</f>
        <v>OTROS SERVICIOS TECNICOS Y PROFESIONALES</v>
      </c>
      <c r="K182" s="98" t="str">
        <f t="shared" si="7"/>
        <v>Posgrado</v>
      </c>
      <c r="L182" s="98" t="s">
        <v>392</v>
      </c>
    </row>
    <row r="183" spans="3:12" x14ac:dyDescent="0.25">
      <c r="C183" s="171" t="s">
        <v>58</v>
      </c>
      <c r="D183" s="163"/>
      <c r="E183" s="154">
        <v>0</v>
      </c>
      <c r="F183" s="100">
        <v>0</v>
      </c>
      <c r="G183" s="97">
        <f>F183</f>
        <v>0</v>
      </c>
      <c r="H183" s="164"/>
      <c r="I183" s="101" t="s">
        <v>703</v>
      </c>
      <c r="J183" s="101" t="str">
        <f>VLOOKUP(I183,Presupuesto!$B$11:$C$565,2,0)</f>
        <v>OTROS SERVICIOS TECNICOS Y PROFESIONALES</v>
      </c>
      <c r="K183" s="98" t="str">
        <f t="shared" si="7"/>
        <v>Posgrado</v>
      </c>
      <c r="L183" s="98" t="s">
        <v>392</v>
      </c>
    </row>
    <row r="184" spans="3:12" ht="15.75" thickBot="1" x14ac:dyDescent="0.3">
      <c r="C184" s="172" t="s">
        <v>59</v>
      </c>
      <c r="D184" s="163"/>
      <c r="E184" s="154">
        <v>0</v>
      </c>
      <c r="F184" s="100">
        <v>0</v>
      </c>
      <c r="G184" s="97">
        <f>F184</f>
        <v>0</v>
      </c>
      <c r="H184" s="164"/>
      <c r="I184" s="101" t="s">
        <v>703</v>
      </c>
      <c r="J184" s="101" t="str">
        <f>VLOOKUP(I184,Presupuesto!$B$11:$C$565,2,0)</f>
        <v>OTROS SERVICIOS TECNICOS Y PROFESIONALES</v>
      </c>
      <c r="K184" s="98" t="str">
        <f t="shared" si="7"/>
        <v>Posgrado</v>
      </c>
      <c r="L184" s="98" t="s">
        <v>392</v>
      </c>
    </row>
    <row r="185" spans="3:12" ht="15.75" thickBot="1" x14ac:dyDescent="0.3">
      <c r="C185" s="140" t="s">
        <v>61</v>
      </c>
      <c r="D185" s="199">
        <v>1</v>
      </c>
      <c r="E185" s="152">
        <v>12</v>
      </c>
      <c r="F185" s="118">
        <v>15000</v>
      </c>
      <c r="G185" s="113">
        <f>D185*E185*F185</f>
        <v>180000</v>
      </c>
      <c r="H185" s="166" t="s">
        <v>1675</v>
      </c>
      <c r="I185" s="114" t="s">
        <v>494</v>
      </c>
      <c r="J185" s="114" t="str">
        <f>VLOOKUP(I185,Presupuesto!$B$11:$C$565,2,0)</f>
        <v>SUELDOS Y SALARIOS PERMANENTES</v>
      </c>
      <c r="K185" s="98" t="s">
        <v>1366</v>
      </c>
      <c r="L185" s="98" t="s">
        <v>410</v>
      </c>
    </row>
    <row r="186" spans="3:12" ht="15.75" thickBot="1" x14ac:dyDescent="0.3">
      <c r="C186" s="171" t="s">
        <v>58</v>
      </c>
      <c r="D186" s="169">
        <v>1</v>
      </c>
      <c r="E186" s="131">
        <v>2</v>
      </c>
      <c r="F186" s="119">
        <f>IF(E185=0,"",(G185/E185)/12*E185)</f>
        <v>15000</v>
      </c>
      <c r="G186" s="113">
        <f t="shared" ref="G186:G187" si="8">D186*E186*F186</f>
        <v>30000</v>
      </c>
      <c r="H186" s="164" t="s">
        <v>1675</v>
      </c>
      <c r="I186" s="101" t="s">
        <v>514</v>
      </c>
      <c r="J186" s="101" t="str">
        <f>VLOOKUP(I186,Presupuesto!$B$11:$C$565,2,0)</f>
        <v>AGUINALDO Y DECIMO CUARTO MES</v>
      </c>
      <c r="K186" s="98" t="s">
        <v>1366</v>
      </c>
      <c r="L186" s="98" t="s">
        <v>410</v>
      </c>
    </row>
    <row r="187" spans="3:12" ht="15.75" thickBot="1" x14ac:dyDescent="0.3">
      <c r="C187" s="173" t="s">
        <v>59</v>
      </c>
      <c r="D187" s="162">
        <v>1</v>
      </c>
      <c r="E187" s="132">
        <v>1</v>
      </c>
      <c r="F187" s="105">
        <v>15000</v>
      </c>
      <c r="G187" s="113">
        <f t="shared" si="8"/>
        <v>15000</v>
      </c>
      <c r="H187" s="162" t="s">
        <v>1675</v>
      </c>
      <c r="I187" s="106" t="s">
        <v>517</v>
      </c>
      <c r="J187" s="124" t="str">
        <f>VLOOKUP(I187,Presupuesto!$B$11:$C$565,2,0)</f>
        <v>DECIMOCUARTO MES</v>
      </c>
      <c r="K187" s="98" t="s">
        <v>1366</v>
      </c>
      <c r="L187" s="124" t="s">
        <v>410</v>
      </c>
    </row>
    <row r="189" spans="3:12" ht="15.75" thickBot="1" x14ac:dyDescent="0.3">
      <c r="K189" s="153"/>
    </row>
    <row r="190" spans="3:12" ht="15.75" thickBot="1" x14ac:dyDescent="0.3">
      <c r="C190" s="69" t="s">
        <v>43</v>
      </c>
      <c r="D190" s="30">
        <f>SUM(G197:G247)</f>
        <v>0</v>
      </c>
      <c r="E190" s="93"/>
      <c r="F190" s="93"/>
      <c r="G190" s="93"/>
      <c r="H190" s="76"/>
      <c r="I190" s="76"/>
      <c r="J190" s="76"/>
      <c r="K190" s="153"/>
    </row>
    <row r="191" spans="3:12" x14ac:dyDescent="0.25">
      <c r="D191" s="31"/>
      <c r="E191" s="93"/>
      <c r="F191" s="93"/>
      <c r="G191" s="93"/>
      <c r="H191" s="76"/>
      <c r="I191" s="76"/>
      <c r="J191" s="76"/>
      <c r="K191" s="153"/>
    </row>
    <row r="192" spans="3:12" x14ac:dyDescent="0.25">
      <c r="D192" s="31"/>
      <c r="E192" s="93"/>
      <c r="F192" s="93"/>
      <c r="G192" s="93"/>
      <c r="H192" s="76"/>
      <c r="I192" s="76"/>
      <c r="J192" s="76"/>
      <c r="K192" s="153"/>
    </row>
    <row r="193" spans="3:12" ht="15.75" x14ac:dyDescent="0.25">
      <c r="C193" s="202" t="s">
        <v>390</v>
      </c>
      <c r="D193" s="368"/>
      <c r="E193" s="93"/>
      <c r="F193" s="93"/>
      <c r="G193" s="93"/>
      <c r="H193" s="76"/>
      <c r="I193" s="76"/>
      <c r="J193" s="76"/>
      <c r="K193" s="153"/>
    </row>
    <row r="194" spans="3:12" ht="18.75" x14ac:dyDescent="0.25">
      <c r="C194" s="210" t="e">
        <f>IFERROR(VLOOKUP(D193,'1. Desarrollo e Innov. Curricu.'!$F:$G,2,FALSE),IFERROR(VLOOKUP(D193,'2. Investigación Científica'!$F:$G,2,FALSE),IFERROR(VLOOKUP(D193,'3. Vinculación Univ. Sociedad'!$F:$G,2,FALSE),IFERROR(VLOOKUP(D193,'4. Docencia y Profesorado Univ.'!$F:$G,2,FALSE),IFERROR(VLOOKUP(D193,'5. Estudiantes y Graduados'!$F:$G,2,FALSE),IFERROR(VLOOKUP(D193,'11. Gestion Administrativa'!$F:$G,2,FALSE),IFERROR(VLOOKUP(D193,'13. Gestión Académica'!$F:$G,2,FALSE),IFERROR(VLOOKUP(D193,'9. Asegura. de la Calid. y M'!$F:$G,2,FALSE),IFERROR(VLOOKUP(D193,'6. Gestión del Conocimiento'!$F:$G,2,FALSE),IFERROR(VLOOKUP(D193,'15. Gobernabilidad y Proceso...'!$G:$H,2,FALSE),IFERROR(VLOOKUP(D193,'12. Gestión del Talento Humano'!$F:$G,2,FALSE),IFERROR(VLOOKUP(D193,'14. Internacional... de la E.S.'!$F:$G,2,FALSE),IFERROR(VLOOKUP(D193,'10. Posgrado'!$F:$G,2,FALSE),IFERROR(VLOOKUP(D193,'17. Gestión TIC'!$F:$G,2,FALSE),IFERROR(VLOOKUP(D193,'16. Desa. del Sistema Educ.Sup.'!$F:$G,2,FALSE),IFERROR(VLOOKUP(D193,'8. Cultura de Inno. Insti...'!$F:$G,2,FALSE),VLOOKUP(D193,'7. Lo Esencial de la Reforma U.'!$G:$H,2,0)))))))))))))))))</f>
        <v>#N/A</v>
      </c>
      <c r="D194" s="31"/>
      <c r="E194" s="93"/>
      <c r="F194" s="93"/>
      <c r="G194" s="93"/>
      <c r="H194" s="76"/>
      <c r="I194" s="76"/>
      <c r="J194" s="76"/>
      <c r="K194" s="153"/>
    </row>
    <row r="195" spans="3:12" ht="15.75" thickBot="1" x14ac:dyDescent="0.3">
      <c r="C195" s="177"/>
      <c r="D195" s="31"/>
      <c r="E195" s="93"/>
      <c r="F195" s="93"/>
      <c r="G195" s="93"/>
      <c r="H195" s="76"/>
      <c r="I195" s="76"/>
      <c r="J195" s="76"/>
      <c r="K195" s="153"/>
    </row>
    <row r="196" spans="3:12" ht="30.75" thickBot="1" x14ac:dyDescent="0.3">
      <c r="C196" s="134" t="s">
        <v>44</v>
      </c>
      <c r="D196" s="138" t="s">
        <v>55</v>
      </c>
      <c r="E196" s="170" t="s">
        <v>56</v>
      </c>
      <c r="F196" s="138" t="s">
        <v>57</v>
      </c>
      <c r="G196" s="135" t="s">
        <v>27</v>
      </c>
      <c r="H196" s="133" t="s">
        <v>129</v>
      </c>
      <c r="I196" s="136" t="s">
        <v>46</v>
      </c>
      <c r="J196" s="136" t="s">
        <v>130</v>
      </c>
      <c r="K196" s="136" t="s">
        <v>408</v>
      </c>
      <c r="L196" s="136" t="s">
        <v>409</v>
      </c>
    </row>
    <row r="197" spans="3:12" ht="15.75" thickBot="1" x14ac:dyDescent="0.3">
      <c r="C197" s="137" t="s">
        <v>480</v>
      </c>
      <c r="D197" s="199"/>
      <c r="E197" s="152">
        <v>12</v>
      </c>
      <c r="F197" s="303">
        <f>HLOOKUP($C197,$BZ$2:$CM$3,2,0)</f>
        <v>43674.39</v>
      </c>
      <c r="G197" s="113">
        <f>D197*E197*F197</f>
        <v>0</v>
      </c>
      <c r="H197" s="166"/>
      <c r="I197" s="114" t="s">
        <v>494</v>
      </c>
      <c r="J197" s="114" t="str">
        <f>VLOOKUP(I197,Presupuesto!$B$11:$C$565,2,0)</f>
        <v>SUELDOS Y SALARIOS PERMANENTES</v>
      </c>
      <c r="K197" s="218" t="s">
        <v>1443</v>
      </c>
      <c r="L197" s="98" t="s">
        <v>392</v>
      </c>
    </row>
    <row r="198" spans="3:12" x14ac:dyDescent="0.25">
      <c r="C198" s="171" t="s">
        <v>58</v>
      </c>
      <c r="D198" s="163"/>
      <c r="E198" s="154">
        <v>0</v>
      </c>
      <c r="F198" s="100">
        <f>IF(E197=0,"",(G197/E197)/12*E197)</f>
        <v>0</v>
      </c>
      <c r="G198" s="97">
        <f>F198</f>
        <v>0</v>
      </c>
      <c r="H198" s="164"/>
      <c r="I198" s="116" t="s">
        <v>514</v>
      </c>
      <c r="J198" s="116" t="str">
        <f>VLOOKUP(I198,Presupuesto!$B$11:$C$565,2,0)</f>
        <v>AGUINALDO Y DECIMO CUARTO MES</v>
      </c>
      <c r="K198" s="98" t="str">
        <f t="shared" ref="K198:K229" si="9">$K$197</f>
        <v>Posgrado</v>
      </c>
      <c r="L198" s="98" t="s">
        <v>410</v>
      </c>
    </row>
    <row r="199" spans="3:12" ht="15.75" thickBot="1" x14ac:dyDescent="0.3">
      <c r="C199" s="172" t="s">
        <v>59</v>
      </c>
      <c r="D199" s="163"/>
      <c r="E199" s="154">
        <v>0</v>
      </c>
      <c r="F199" s="117">
        <f>IF(E197&lt;6,"",((E197-6)/12)*(G197/E197))</f>
        <v>0</v>
      </c>
      <c r="G199" s="97">
        <f>F199</f>
        <v>0</v>
      </c>
      <c r="H199" s="164"/>
      <c r="I199" s="101" t="s">
        <v>517</v>
      </c>
      <c r="J199" s="101" t="str">
        <f>VLOOKUP(I199,Presupuesto!$B$11:$C$565,2,0)</f>
        <v>DECIMOCUARTO MES</v>
      </c>
      <c r="K199" s="98" t="str">
        <f t="shared" si="9"/>
        <v>Posgrado</v>
      </c>
      <c r="L199" s="98" t="s">
        <v>393</v>
      </c>
    </row>
    <row r="200" spans="3:12" ht="15.75" thickBot="1" x14ac:dyDescent="0.3">
      <c r="C200" s="137" t="s">
        <v>481</v>
      </c>
      <c r="D200" s="199"/>
      <c r="E200" s="152">
        <v>12</v>
      </c>
      <c r="F200" s="303">
        <f>HLOOKUP($C200,$BZ$2:$CM$3,2,0)</f>
        <v>39703.99</v>
      </c>
      <c r="G200" s="113">
        <f>D200*E200*F200</f>
        <v>0</v>
      </c>
      <c r="H200" s="166"/>
      <c r="I200" s="114" t="s">
        <v>494</v>
      </c>
      <c r="J200" s="114" t="str">
        <f>VLOOKUP(I200,Presupuesto!$B$11:$C$565,2,0)</f>
        <v>SUELDOS Y SALARIOS PERMANENTES</v>
      </c>
      <c r="K200" s="98" t="str">
        <f t="shared" si="9"/>
        <v>Posgrado</v>
      </c>
      <c r="L200" s="98" t="s">
        <v>393</v>
      </c>
    </row>
    <row r="201" spans="3:12" x14ac:dyDescent="0.25">
      <c r="C201" s="171" t="s">
        <v>58</v>
      </c>
      <c r="D201" s="163"/>
      <c r="E201" s="154">
        <v>0</v>
      </c>
      <c r="F201" s="100">
        <f>IF(E200=0,"",(G200/E200)/12*E200)</f>
        <v>0</v>
      </c>
      <c r="G201" s="97">
        <f>F201</f>
        <v>0</v>
      </c>
      <c r="H201" s="164"/>
      <c r="I201" s="116" t="s">
        <v>514</v>
      </c>
      <c r="J201" s="116" t="str">
        <f>VLOOKUP(I201,Presupuesto!$B$11:$C$565,2,0)</f>
        <v>AGUINALDO Y DECIMO CUARTO MES</v>
      </c>
      <c r="K201" s="98" t="str">
        <f t="shared" si="9"/>
        <v>Posgrado</v>
      </c>
      <c r="L201" s="98" t="s">
        <v>393</v>
      </c>
    </row>
    <row r="202" spans="3:12" ht="15.75" thickBot="1" x14ac:dyDescent="0.3">
      <c r="C202" s="172" t="s">
        <v>59</v>
      </c>
      <c r="D202" s="163"/>
      <c r="E202" s="154">
        <v>0</v>
      </c>
      <c r="F202" s="117">
        <f>IF(E200&lt;6,"",((E200-6)/12)*(G200/E200))</f>
        <v>0</v>
      </c>
      <c r="G202" s="97">
        <f>F202</f>
        <v>0</v>
      </c>
      <c r="H202" s="164"/>
      <c r="I202" s="101" t="s">
        <v>517</v>
      </c>
      <c r="J202" s="101" t="str">
        <f>VLOOKUP(I202,Presupuesto!$B$11:$C$565,2,0)</f>
        <v>DECIMOCUARTO MES</v>
      </c>
      <c r="K202" s="98" t="str">
        <f t="shared" si="9"/>
        <v>Posgrado</v>
      </c>
      <c r="L202" s="98" t="s">
        <v>393</v>
      </c>
    </row>
    <row r="203" spans="3:12" ht="15.75" thickBot="1" x14ac:dyDescent="0.3">
      <c r="C203" s="137" t="s">
        <v>482</v>
      </c>
      <c r="D203" s="199"/>
      <c r="E203" s="152">
        <v>12</v>
      </c>
      <c r="F203" s="303">
        <f>HLOOKUP($C203,$BZ$2:$CM$3,2,0)</f>
        <v>35733.589999999997</v>
      </c>
      <c r="G203" s="113">
        <f>D203*E203*F203</f>
        <v>0</v>
      </c>
      <c r="H203" s="166"/>
      <c r="I203" s="114" t="s">
        <v>494</v>
      </c>
      <c r="J203" s="114" t="str">
        <f>VLOOKUP(I203,Presupuesto!$B$11:$C$565,2,0)</f>
        <v>SUELDOS Y SALARIOS PERMANENTES</v>
      </c>
      <c r="K203" s="98" t="str">
        <f t="shared" si="9"/>
        <v>Posgrado</v>
      </c>
      <c r="L203" s="98" t="s">
        <v>393</v>
      </c>
    </row>
    <row r="204" spans="3:12" x14ac:dyDescent="0.25">
      <c r="C204" s="171" t="s">
        <v>58</v>
      </c>
      <c r="D204" s="163"/>
      <c r="E204" s="154">
        <v>0</v>
      </c>
      <c r="F204" s="100">
        <f>IF(E203=0,"",(G203/E203)/12*E203)</f>
        <v>0</v>
      </c>
      <c r="G204" s="97">
        <f>F204</f>
        <v>0</v>
      </c>
      <c r="H204" s="164"/>
      <c r="I204" s="116" t="s">
        <v>514</v>
      </c>
      <c r="J204" s="116" t="str">
        <f>VLOOKUP(I204,Presupuesto!$B$11:$C$565,2,0)</f>
        <v>AGUINALDO Y DECIMO CUARTO MES</v>
      </c>
      <c r="K204" s="98" t="str">
        <f t="shared" si="9"/>
        <v>Posgrado</v>
      </c>
      <c r="L204" s="98" t="s">
        <v>393</v>
      </c>
    </row>
    <row r="205" spans="3:12" ht="15.75" thickBot="1" x14ac:dyDescent="0.3">
      <c r="C205" s="172" t="s">
        <v>59</v>
      </c>
      <c r="D205" s="163"/>
      <c r="E205" s="154">
        <v>0</v>
      </c>
      <c r="F205" s="117">
        <f>IF(E203&lt;6,"",((E203-6)/12)*(G203/E203))</f>
        <v>0</v>
      </c>
      <c r="G205" s="97">
        <f>F205</f>
        <v>0</v>
      </c>
      <c r="H205" s="164"/>
      <c r="I205" s="101" t="s">
        <v>517</v>
      </c>
      <c r="J205" s="101" t="str">
        <f>VLOOKUP(I205,Presupuesto!$B$11:$C$565,2,0)</f>
        <v>DECIMOCUARTO MES</v>
      </c>
      <c r="K205" s="98" t="str">
        <f t="shared" si="9"/>
        <v>Posgrado</v>
      </c>
      <c r="L205" s="98" t="s">
        <v>393</v>
      </c>
    </row>
    <row r="206" spans="3:12" ht="15.75" thickBot="1" x14ac:dyDescent="0.3">
      <c r="C206" s="137" t="s">
        <v>483</v>
      </c>
      <c r="D206" s="199"/>
      <c r="E206" s="152">
        <v>12</v>
      </c>
      <c r="F206" s="303">
        <f>HLOOKUP($C206,$BZ$2:$CM$3,2,0)</f>
        <v>31763.19</v>
      </c>
      <c r="G206" s="113">
        <f>D206*E206*F206</f>
        <v>0</v>
      </c>
      <c r="H206" s="166"/>
      <c r="I206" s="114" t="s">
        <v>494</v>
      </c>
      <c r="J206" s="114" t="str">
        <f>VLOOKUP(I206,Presupuesto!$B$11:$C$565,2,0)</f>
        <v>SUELDOS Y SALARIOS PERMANENTES</v>
      </c>
      <c r="K206" s="98" t="str">
        <f t="shared" si="9"/>
        <v>Posgrado</v>
      </c>
      <c r="L206" s="98" t="s">
        <v>393</v>
      </c>
    </row>
    <row r="207" spans="3:12" x14ac:dyDescent="0.25">
      <c r="C207" s="171" t="s">
        <v>58</v>
      </c>
      <c r="D207" s="163"/>
      <c r="E207" s="154">
        <v>0</v>
      </c>
      <c r="F207" s="100">
        <f>IF(E206=0,"",(G206/E206)/12*E206)</f>
        <v>0</v>
      </c>
      <c r="G207" s="97">
        <f>F207</f>
        <v>0</v>
      </c>
      <c r="H207" s="164"/>
      <c r="I207" s="116" t="s">
        <v>514</v>
      </c>
      <c r="J207" s="116" t="str">
        <f>VLOOKUP(I207,Presupuesto!$B$11:$C$565,2,0)</f>
        <v>AGUINALDO Y DECIMO CUARTO MES</v>
      </c>
      <c r="K207" s="98" t="str">
        <f t="shared" si="9"/>
        <v>Posgrado</v>
      </c>
      <c r="L207" s="98" t="s">
        <v>393</v>
      </c>
    </row>
    <row r="208" spans="3:12" ht="15.75" thickBot="1" x14ac:dyDescent="0.3">
      <c r="C208" s="172" t="s">
        <v>59</v>
      </c>
      <c r="D208" s="163"/>
      <c r="E208" s="154">
        <v>0</v>
      </c>
      <c r="F208" s="117">
        <f>IF(E206&lt;6,"",((E206-6)/12)*(G206/E206))</f>
        <v>0</v>
      </c>
      <c r="G208" s="97">
        <f>F208</f>
        <v>0</v>
      </c>
      <c r="H208" s="164"/>
      <c r="I208" s="101" t="s">
        <v>517</v>
      </c>
      <c r="J208" s="101" t="str">
        <f>VLOOKUP(I208,Presupuesto!$B$11:$C$565,2,0)</f>
        <v>DECIMOCUARTO MES</v>
      </c>
      <c r="K208" s="98" t="str">
        <f t="shared" si="9"/>
        <v>Posgrado</v>
      </c>
      <c r="L208" s="98" t="s">
        <v>393</v>
      </c>
    </row>
    <row r="209" spans="3:12" ht="15.75" thickBot="1" x14ac:dyDescent="0.3">
      <c r="C209" s="137" t="s">
        <v>484</v>
      </c>
      <c r="D209" s="199"/>
      <c r="E209" s="152">
        <v>12</v>
      </c>
      <c r="F209" s="303">
        <f>HLOOKUP($C209,$BZ$2:$CM$3,2,0)</f>
        <v>29777.99</v>
      </c>
      <c r="G209" s="113">
        <f>D209*E209*F209</f>
        <v>0</v>
      </c>
      <c r="H209" s="166"/>
      <c r="I209" s="114" t="s">
        <v>494</v>
      </c>
      <c r="J209" s="114" t="str">
        <f>VLOOKUP(I209,Presupuesto!$B$11:$C$565,2,0)</f>
        <v>SUELDOS Y SALARIOS PERMANENTES</v>
      </c>
      <c r="K209" s="98" t="str">
        <f t="shared" si="9"/>
        <v>Posgrado</v>
      </c>
      <c r="L209" s="98" t="s">
        <v>393</v>
      </c>
    </row>
    <row r="210" spans="3:12" x14ac:dyDescent="0.25">
      <c r="C210" s="171" t="s">
        <v>58</v>
      </c>
      <c r="D210" s="163"/>
      <c r="E210" s="154">
        <v>0</v>
      </c>
      <c r="F210" s="100">
        <f>IF(E209=0,"",(G209/E209)/12*E209)</f>
        <v>0</v>
      </c>
      <c r="G210" s="97">
        <f>F210</f>
        <v>0</v>
      </c>
      <c r="H210" s="164"/>
      <c r="I210" s="116" t="s">
        <v>514</v>
      </c>
      <c r="J210" s="116" t="str">
        <f>VLOOKUP(I210,Presupuesto!$B$11:$C$565,2,0)</f>
        <v>AGUINALDO Y DECIMO CUARTO MES</v>
      </c>
      <c r="K210" s="98" t="str">
        <f t="shared" si="9"/>
        <v>Posgrado</v>
      </c>
      <c r="L210" s="98" t="s">
        <v>393</v>
      </c>
    </row>
    <row r="211" spans="3:12" ht="15.75" thickBot="1" x14ac:dyDescent="0.3">
      <c r="C211" s="172" t="s">
        <v>59</v>
      </c>
      <c r="D211" s="163"/>
      <c r="E211" s="154">
        <v>0</v>
      </c>
      <c r="F211" s="117">
        <f>IF(E209&lt;6,"",((E209-6)/12)*(G209/E209))</f>
        <v>0</v>
      </c>
      <c r="G211" s="97">
        <f>F211</f>
        <v>0</v>
      </c>
      <c r="H211" s="164"/>
      <c r="I211" s="101" t="s">
        <v>517</v>
      </c>
      <c r="J211" s="101" t="str">
        <f>VLOOKUP(I211,Presupuesto!$B$11:$C$565,2,0)</f>
        <v>DECIMOCUARTO MES</v>
      </c>
      <c r="K211" s="98" t="str">
        <f t="shared" si="9"/>
        <v>Posgrado</v>
      </c>
      <c r="L211" s="98" t="s">
        <v>393</v>
      </c>
    </row>
    <row r="212" spans="3:12" ht="15.75" thickBot="1" x14ac:dyDescent="0.3">
      <c r="C212" s="137" t="s">
        <v>485</v>
      </c>
      <c r="D212" s="199"/>
      <c r="E212" s="152">
        <v>12</v>
      </c>
      <c r="F212" s="303">
        <f>HLOOKUP($C212,$BZ$2:$CM$3,2,0)</f>
        <v>27792.79</v>
      </c>
      <c r="G212" s="113">
        <f>D212*E212*F212</f>
        <v>0</v>
      </c>
      <c r="H212" s="166"/>
      <c r="I212" s="114" t="s">
        <v>494</v>
      </c>
      <c r="J212" s="114" t="str">
        <f>VLOOKUP(I212,Presupuesto!$B$11:$C$565,2,0)</f>
        <v>SUELDOS Y SALARIOS PERMANENTES</v>
      </c>
      <c r="K212" s="98" t="str">
        <f t="shared" si="9"/>
        <v>Posgrado</v>
      </c>
      <c r="L212" s="98" t="s">
        <v>393</v>
      </c>
    </row>
    <row r="213" spans="3:12" x14ac:dyDescent="0.25">
      <c r="C213" s="171" t="s">
        <v>58</v>
      </c>
      <c r="D213" s="163"/>
      <c r="E213" s="154">
        <v>0</v>
      </c>
      <c r="F213" s="100">
        <f>IF(E212=0,"",(G212/E212)/12*E212)</f>
        <v>0</v>
      </c>
      <c r="G213" s="97">
        <f>F213</f>
        <v>0</v>
      </c>
      <c r="H213" s="164"/>
      <c r="I213" s="116" t="s">
        <v>514</v>
      </c>
      <c r="J213" s="116" t="str">
        <f>VLOOKUP(I213,Presupuesto!$B$11:$C$565,2,0)</f>
        <v>AGUINALDO Y DECIMO CUARTO MES</v>
      </c>
      <c r="K213" s="98" t="str">
        <f t="shared" si="9"/>
        <v>Posgrado</v>
      </c>
      <c r="L213" s="98" t="s">
        <v>393</v>
      </c>
    </row>
    <row r="214" spans="3:12" ht="15.75" thickBot="1" x14ac:dyDescent="0.3">
      <c r="C214" s="172" t="s">
        <v>59</v>
      </c>
      <c r="D214" s="163"/>
      <c r="E214" s="154">
        <v>0</v>
      </c>
      <c r="F214" s="117">
        <f>IF(E212&lt;6,"",((E212-6)/12)*(G212/E212))</f>
        <v>0</v>
      </c>
      <c r="G214" s="97">
        <f>F214</f>
        <v>0</v>
      </c>
      <c r="H214" s="164"/>
      <c r="I214" s="101" t="s">
        <v>517</v>
      </c>
      <c r="J214" s="101" t="str">
        <f>VLOOKUP(I214,Presupuesto!$B$11:$C$565,2,0)</f>
        <v>DECIMOCUARTO MES</v>
      </c>
      <c r="K214" s="98" t="str">
        <f t="shared" si="9"/>
        <v>Posgrado</v>
      </c>
      <c r="L214" s="98" t="s">
        <v>393</v>
      </c>
    </row>
    <row r="215" spans="3:12" ht="15.75" thickBot="1" x14ac:dyDescent="0.3">
      <c r="C215" s="137" t="s">
        <v>486</v>
      </c>
      <c r="D215" s="199"/>
      <c r="E215" s="152">
        <v>12</v>
      </c>
      <c r="F215" s="303">
        <f>HLOOKUP($C215,$BZ$2:$CM$3,2,0)</f>
        <v>18859.39</v>
      </c>
      <c r="G215" s="113">
        <f>D215*E215*F215</f>
        <v>0</v>
      </c>
      <c r="H215" s="166"/>
      <c r="I215" s="114" t="s">
        <v>494</v>
      </c>
      <c r="J215" s="114" t="str">
        <f>VLOOKUP(I215,Presupuesto!$B$11:$C$565,2,0)</f>
        <v>SUELDOS Y SALARIOS PERMANENTES</v>
      </c>
      <c r="K215" s="98" t="str">
        <f t="shared" si="9"/>
        <v>Posgrado</v>
      </c>
      <c r="L215" s="98" t="s">
        <v>393</v>
      </c>
    </row>
    <row r="216" spans="3:12" x14ac:dyDescent="0.25">
      <c r="C216" s="171" t="s">
        <v>58</v>
      </c>
      <c r="D216" s="163"/>
      <c r="E216" s="154">
        <v>0</v>
      </c>
      <c r="F216" s="100">
        <f>IF(E215=0,"",(G215/E215)/12*E215)</f>
        <v>0</v>
      </c>
      <c r="G216" s="97">
        <f>F216</f>
        <v>0</v>
      </c>
      <c r="H216" s="164"/>
      <c r="I216" s="116" t="s">
        <v>514</v>
      </c>
      <c r="J216" s="116" t="str">
        <f>VLOOKUP(I216,Presupuesto!$B$11:$C$565,2,0)</f>
        <v>AGUINALDO Y DECIMO CUARTO MES</v>
      </c>
      <c r="K216" s="98" t="str">
        <f t="shared" si="9"/>
        <v>Posgrado</v>
      </c>
      <c r="L216" s="98" t="s">
        <v>393</v>
      </c>
    </row>
    <row r="217" spans="3:12" ht="15.75" thickBot="1" x14ac:dyDescent="0.3">
      <c r="C217" s="172" t="s">
        <v>59</v>
      </c>
      <c r="D217" s="163"/>
      <c r="E217" s="154">
        <v>0</v>
      </c>
      <c r="F217" s="117">
        <f>IF(E215&lt;6,"",((E215-6)/12)*(G215/E215))</f>
        <v>0</v>
      </c>
      <c r="G217" s="97">
        <f>F217</f>
        <v>0</v>
      </c>
      <c r="H217" s="164"/>
      <c r="I217" s="101" t="s">
        <v>517</v>
      </c>
      <c r="J217" s="101" t="str">
        <f>VLOOKUP(I217,Presupuesto!$B$11:$C$565,2,0)</f>
        <v>DECIMOCUARTO MES</v>
      </c>
      <c r="K217" s="98" t="str">
        <f t="shared" si="9"/>
        <v>Posgrado</v>
      </c>
      <c r="L217" s="98" t="s">
        <v>393</v>
      </c>
    </row>
    <row r="218" spans="3:12" ht="15.75" thickBot="1" x14ac:dyDescent="0.3">
      <c r="C218" s="137" t="s">
        <v>487</v>
      </c>
      <c r="D218" s="199"/>
      <c r="E218" s="152">
        <v>12</v>
      </c>
      <c r="F218" s="303">
        <f>HLOOKUP($C218,$BZ$2:$CM$3,2,0)</f>
        <v>17866.8</v>
      </c>
      <c r="G218" s="113">
        <f>D218*E218*F218</f>
        <v>0</v>
      </c>
      <c r="H218" s="166"/>
      <c r="I218" s="114" t="s">
        <v>494</v>
      </c>
      <c r="J218" s="114" t="str">
        <f>VLOOKUP(I218,Presupuesto!$B$11:$C$565,2,0)</f>
        <v>SUELDOS Y SALARIOS PERMANENTES</v>
      </c>
      <c r="K218" s="98" t="str">
        <f t="shared" si="9"/>
        <v>Posgrado</v>
      </c>
      <c r="L218" s="98" t="s">
        <v>393</v>
      </c>
    </row>
    <row r="219" spans="3:12" x14ac:dyDescent="0.25">
      <c r="C219" s="171" t="s">
        <v>58</v>
      </c>
      <c r="D219" s="163"/>
      <c r="E219" s="154">
        <v>0</v>
      </c>
      <c r="F219" s="100">
        <f>IF(E218=0,"",(G218/E218)/12*E218)</f>
        <v>0</v>
      </c>
      <c r="G219" s="97">
        <f>F219</f>
        <v>0</v>
      </c>
      <c r="H219" s="164"/>
      <c r="I219" s="116" t="s">
        <v>514</v>
      </c>
      <c r="J219" s="116" t="str">
        <f>VLOOKUP(I219,Presupuesto!$B$11:$C$565,2,0)</f>
        <v>AGUINALDO Y DECIMO CUARTO MES</v>
      </c>
      <c r="K219" s="98" t="str">
        <f t="shared" si="9"/>
        <v>Posgrado</v>
      </c>
      <c r="L219" s="98" t="s">
        <v>393</v>
      </c>
    </row>
    <row r="220" spans="3:12" ht="15.75" thickBot="1" x14ac:dyDescent="0.3">
      <c r="C220" s="172" t="s">
        <v>59</v>
      </c>
      <c r="D220" s="163"/>
      <c r="E220" s="154">
        <v>0</v>
      </c>
      <c r="F220" s="117">
        <f>IF(E218&lt;6,"",((E218-6)/12)*(G218/E218))</f>
        <v>0</v>
      </c>
      <c r="G220" s="97">
        <f>F220</f>
        <v>0</v>
      </c>
      <c r="H220" s="164"/>
      <c r="I220" s="101" t="s">
        <v>517</v>
      </c>
      <c r="J220" s="101" t="str">
        <f>VLOOKUP(I220,Presupuesto!$B$11:$C$565,2,0)</f>
        <v>DECIMOCUARTO MES</v>
      </c>
      <c r="K220" s="98" t="str">
        <f t="shared" si="9"/>
        <v>Posgrado</v>
      </c>
      <c r="L220" s="98" t="s">
        <v>393</v>
      </c>
    </row>
    <row r="221" spans="3:12" ht="15.75" thickBot="1" x14ac:dyDescent="0.3">
      <c r="C221" s="137" t="s">
        <v>488</v>
      </c>
      <c r="D221" s="199"/>
      <c r="E221" s="152">
        <v>12</v>
      </c>
      <c r="F221" s="303">
        <f>HLOOKUP($C221,$BZ$2:$CM$3,2,0)</f>
        <v>13896.4</v>
      </c>
      <c r="G221" s="113">
        <f>D221*E221*F221</f>
        <v>0</v>
      </c>
      <c r="H221" s="166"/>
      <c r="I221" s="114" t="s">
        <v>494</v>
      </c>
      <c r="J221" s="114" t="str">
        <f>VLOOKUP(I221,Presupuesto!$B$11:$C$565,2,0)</f>
        <v>SUELDOS Y SALARIOS PERMANENTES</v>
      </c>
      <c r="K221" s="98" t="str">
        <f t="shared" si="9"/>
        <v>Posgrado</v>
      </c>
      <c r="L221" s="98" t="s">
        <v>393</v>
      </c>
    </row>
    <row r="222" spans="3:12" x14ac:dyDescent="0.25">
      <c r="C222" s="171" t="s">
        <v>58</v>
      </c>
      <c r="D222" s="163"/>
      <c r="E222" s="154">
        <v>0</v>
      </c>
      <c r="F222" s="100">
        <f>IF(E221=0,"",(G221/E221)/12*E221)</f>
        <v>0</v>
      </c>
      <c r="G222" s="97">
        <f>F222</f>
        <v>0</v>
      </c>
      <c r="H222" s="164"/>
      <c r="I222" s="116" t="s">
        <v>514</v>
      </c>
      <c r="J222" s="116" t="str">
        <f>VLOOKUP(I222,Presupuesto!$B$11:$C$565,2,0)</f>
        <v>AGUINALDO Y DECIMO CUARTO MES</v>
      </c>
      <c r="K222" s="98" t="str">
        <f t="shared" si="9"/>
        <v>Posgrado</v>
      </c>
      <c r="L222" s="98" t="s">
        <v>393</v>
      </c>
    </row>
    <row r="223" spans="3:12" ht="15.75" thickBot="1" x14ac:dyDescent="0.3">
      <c r="C223" s="172" t="s">
        <v>59</v>
      </c>
      <c r="D223" s="163"/>
      <c r="E223" s="154">
        <v>0</v>
      </c>
      <c r="F223" s="117">
        <f>IF(E221&lt;6,"",((E221-6)/12)*(G221/E221))</f>
        <v>0</v>
      </c>
      <c r="G223" s="97">
        <f>F223</f>
        <v>0</v>
      </c>
      <c r="H223" s="164"/>
      <c r="I223" s="101" t="s">
        <v>517</v>
      </c>
      <c r="J223" s="101" t="str">
        <f>VLOOKUP(I223,Presupuesto!$B$11:$C$565,2,0)</f>
        <v>DECIMOCUARTO MES</v>
      </c>
      <c r="K223" s="98" t="str">
        <f t="shared" si="9"/>
        <v>Posgrado</v>
      </c>
      <c r="L223" s="98" t="s">
        <v>393</v>
      </c>
    </row>
    <row r="224" spans="3:12" ht="15.75" thickBot="1" x14ac:dyDescent="0.3">
      <c r="C224" s="137" t="s">
        <v>489</v>
      </c>
      <c r="D224" s="199"/>
      <c r="E224" s="152">
        <v>12</v>
      </c>
      <c r="F224" s="303">
        <f>HLOOKUP($C224,$BZ$2:$CM$3,2,0)</f>
        <v>15004.09</v>
      </c>
      <c r="G224" s="113">
        <f>D224*E224*F224</f>
        <v>0</v>
      </c>
      <c r="H224" s="166"/>
      <c r="I224" s="114" t="s">
        <v>494</v>
      </c>
      <c r="J224" s="114" t="str">
        <f>VLOOKUP(I224,Presupuesto!$B$11:$C$565,2,0)</f>
        <v>SUELDOS Y SALARIOS PERMANENTES</v>
      </c>
      <c r="K224" s="98" t="str">
        <f t="shared" si="9"/>
        <v>Posgrado</v>
      </c>
      <c r="L224" s="98" t="s">
        <v>393</v>
      </c>
    </row>
    <row r="225" spans="3:12" x14ac:dyDescent="0.25">
      <c r="C225" s="171" t="s">
        <v>58</v>
      </c>
      <c r="D225" s="163"/>
      <c r="E225" s="154">
        <v>0</v>
      </c>
      <c r="F225" s="100">
        <f>IF(E224=0,"",(G224/E224)/12*E224)</f>
        <v>0</v>
      </c>
      <c r="G225" s="97">
        <f>F225</f>
        <v>0</v>
      </c>
      <c r="H225" s="164"/>
      <c r="I225" s="116" t="s">
        <v>514</v>
      </c>
      <c r="J225" s="116" t="str">
        <f>VLOOKUP(I225,Presupuesto!$B$11:$C$565,2,0)</f>
        <v>AGUINALDO Y DECIMO CUARTO MES</v>
      </c>
      <c r="K225" s="98" t="str">
        <f t="shared" si="9"/>
        <v>Posgrado</v>
      </c>
      <c r="L225" s="98" t="s">
        <v>393</v>
      </c>
    </row>
    <row r="226" spans="3:12" ht="15.75" thickBot="1" x14ac:dyDescent="0.3">
      <c r="C226" s="172" t="s">
        <v>59</v>
      </c>
      <c r="D226" s="163"/>
      <c r="E226" s="154">
        <v>0</v>
      </c>
      <c r="F226" s="117">
        <f>IF(E224&lt;6,"",((E224-6)/12)*(G224/E224))</f>
        <v>0</v>
      </c>
      <c r="G226" s="97">
        <f>F226</f>
        <v>0</v>
      </c>
      <c r="H226" s="164"/>
      <c r="I226" s="101" t="s">
        <v>517</v>
      </c>
      <c r="J226" s="101" t="str">
        <f>VLOOKUP(I226,Presupuesto!$B$11:$C$565,2,0)</f>
        <v>DECIMOCUARTO MES</v>
      </c>
      <c r="K226" s="98" t="str">
        <f t="shared" si="9"/>
        <v>Posgrado</v>
      </c>
      <c r="L226" s="98" t="s">
        <v>393</v>
      </c>
    </row>
    <row r="227" spans="3:12" ht="15.75" thickBot="1" x14ac:dyDescent="0.3">
      <c r="C227" s="137" t="s">
        <v>490</v>
      </c>
      <c r="D227" s="199"/>
      <c r="E227" s="152">
        <v>12</v>
      </c>
      <c r="F227" s="303">
        <f>HLOOKUP($C227,$BZ$2:$CM$3,2,0)</f>
        <v>13238.9</v>
      </c>
      <c r="G227" s="113">
        <f>D227*E227*F227</f>
        <v>0</v>
      </c>
      <c r="H227" s="166"/>
      <c r="I227" s="114" t="s">
        <v>494</v>
      </c>
      <c r="J227" s="114" t="str">
        <f>VLOOKUP(I227,Presupuesto!$B$11:$C$565,2,0)</f>
        <v>SUELDOS Y SALARIOS PERMANENTES</v>
      </c>
      <c r="K227" s="98" t="str">
        <f t="shared" si="9"/>
        <v>Posgrado</v>
      </c>
      <c r="L227" s="98" t="s">
        <v>393</v>
      </c>
    </row>
    <row r="228" spans="3:12" x14ac:dyDescent="0.25">
      <c r="C228" s="171" t="s">
        <v>58</v>
      </c>
      <c r="D228" s="163"/>
      <c r="E228" s="154">
        <v>0</v>
      </c>
      <c r="F228" s="100">
        <f>IF(E227=0,"",(G227/E227)/12*E227)</f>
        <v>0</v>
      </c>
      <c r="G228" s="97">
        <f>F228</f>
        <v>0</v>
      </c>
      <c r="H228" s="164"/>
      <c r="I228" s="116" t="s">
        <v>514</v>
      </c>
      <c r="J228" s="116" t="str">
        <f>VLOOKUP(I228,Presupuesto!$B$11:$C$565,2,0)</f>
        <v>AGUINALDO Y DECIMO CUARTO MES</v>
      </c>
      <c r="K228" s="98" t="str">
        <f t="shared" si="9"/>
        <v>Posgrado</v>
      </c>
      <c r="L228" s="98" t="s">
        <v>393</v>
      </c>
    </row>
    <row r="229" spans="3:12" ht="15.75" thickBot="1" x14ac:dyDescent="0.3">
      <c r="C229" s="172" t="s">
        <v>59</v>
      </c>
      <c r="D229" s="163"/>
      <c r="E229" s="154">
        <v>0</v>
      </c>
      <c r="F229" s="117">
        <f>IF(E227&lt;6,"",((E227-6)/12)*(G227/E227))</f>
        <v>0</v>
      </c>
      <c r="G229" s="97">
        <f>F229</f>
        <v>0</v>
      </c>
      <c r="H229" s="164"/>
      <c r="I229" s="101" t="s">
        <v>517</v>
      </c>
      <c r="J229" s="101" t="str">
        <f>VLOOKUP(I229,Presupuesto!$B$11:$C$565,2,0)</f>
        <v>DECIMOCUARTO MES</v>
      </c>
      <c r="K229" s="98" t="str">
        <f t="shared" si="9"/>
        <v>Posgrado</v>
      </c>
      <c r="L229" s="98" t="s">
        <v>393</v>
      </c>
    </row>
    <row r="230" spans="3:12" ht="15.75" thickBot="1" x14ac:dyDescent="0.3">
      <c r="C230" s="137" t="s">
        <v>491</v>
      </c>
      <c r="D230" s="199"/>
      <c r="E230" s="152">
        <v>12</v>
      </c>
      <c r="F230" s="303">
        <f>HLOOKUP($C230,$BZ$2:$CM$3,2,0)</f>
        <v>12356.31</v>
      </c>
      <c r="G230" s="113">
        <f>D230*E230*F230</f>
        <v>0</v>
      </c>
      <c r="H230" s="166"/>
      <c r="I230" s="114" t="s">
        <v>494</v>
      </c>
      <c r="J230" s="114" t="str">
        <f>VLOOKUP(I230,Presupuesto!$B$11:$C$565,2,0)</f>
        <v>SUELDOS Y SALARIOS PERMANENTES</v>
      </c>
      <c r="K230" s="98" t="str">
        <f t="shared" ref="K230:K247" si="10">$K$197</f>
        <v>Posgrado</v>
      </c>
      <c r="L230" s="98" t="s">
        <v>393</v>
      </c>
    </row>
    <row r="231" spans="3:12" x14ac:dyDescent="0.25">
      <c r="C231" s="171" t="s">
        <v>58</v>
      </c>
      <c r="D231" s="163"/>
      <c r="E231" s="154">
        <v>0</v>
      </c>
      <c r="F231" s="100">
        <f>IF(E230=0,"",(G230/E230)/12*E230)</f>
        <v>0</v>
      </c>
      <c r="G231" s="97">
        <f>F231</f>
        <v>0</v>
      </c>
      <c r="H231" s="164"/>
      <c r="I231" s="116" t="s">
        <v>514</v>
      </c>
      <c r="J231" s="116" t="str">
        <f>VLOOKUP(I231,Presupuesto!$B$11:$C$565,2,0)</f>
        <v>AGUINALDO Y DECIMO CUARTO MES</v>
      </c>
      <c r="K231" s="98" t="str">
        <f t="shared" si="10"/>
        <v>Posgrado</v>
      </c>
      <c r="L231" s="98" t="s">
        <v>393</v>
      </c>
    </row>
    <row r="232" spans="3:12" ht="15.75" thickBot="1" x14ac:dyDescent="0.3">
      <c r="C232" s="172" t="s">
        <v>59</v>
      </c>
      <c r="D232" s="163"/>
      <c r="E232" s="154">
        <v>0</v>
      </c>
      <c r="F232" s="117">
        <f>IF(E230&lt;6,"",((E230-6)/12)*(G230/E230))</f>
        <v>0</v>
      </c>
      <c r="G232" s="97">
        <f>F232</f>
        <v>0</v>
      </c>
      <c r="H232" s="164"/>
      <c r="I232" s="101" t="s">
        <v>517</v>
      </c>
      <c r="J232" s="101" t="str">
        <f>VLOOKUP(I232,Presupuesto!$B$11:$C$565,2,0)</f>
        <v>DECIMOCUARTO MES</v>
      </c>
      <c r="K232" s="98" t="str">
        <f t="shared" si="10"/>
        <v>Posgrado</v>
      </c>
      <c r="L232" s="98" t="s">
        <v>393</v>
      </c>
    </row>
    <row r="233" spans="3:12" ht="15.75" thickBot="1" x14ac:dyDescent="0.3">
      <c r="C233" s="137" t="s">
        <v>492</v>
      </c>
      <c r="D233" s="199"/>
      <c r="E233" s="152">
        <v>12</v>
      </c>
      <c r="F233" s="303">
        <f>HLOOKUP($C233,$BZ$2:$CM$3,2,0)</f>
        <v>463.22</v>
      </c>
      <c r="G233" s="113">
        <f>D233*E233*F233</f>
        <v>0</v>
      </c>
      <c r="H233" s="166"/>
      <c r="I233" s="114" t="s">
        <v>494</v>
      </c>
      <c r="J233" s="114" t="str">
        <f>VLOOKUP(I233,Presupuesto!$B$11:$C$565,2,0)</f>
        <v>SUELDOS Y SALARIOS PERMANENTES</v>
      </c>
      <c r="K233" s="98" t="str">
        <f t="shared" si="10"/>
        <v>Posgrado</v>
      </c>
      <c r="L233" s="98" t="s">
        <v>393</v>
      </c>
    </row>
    <row r="234" spans="3:12" x14ac:dyDescent="0.25">
      <c r="C234" s="171" t="s">
        <v>58</v>
      </c>
      <c r="D234" s="163"/>
      <c r="E234" s="154">
        <v>0</v>
      </c>
      <c r="F234" s="100">
        <f>IF(E233=0,"",(G233/E233)/12*E233)</f>
        <v>0</v>
      </c>
      <c r="G234" s="97">
        <f>F234</f>
        <v>0</v>
      </c>
      <c r="H234" s="164"/>
      <c r="I234" s="116" t="s">
        <v>514</v>
      </c>
      <c r="J234" s="116" t="str">
        <f>VLOOKUP(I234,Presupuesto!$B$11:$C$565,2,0)</f>
        <v>AGUINALDO Y DECIMO CUARTO MES</v>
      </c>
      <c r="K234" s="98" t="str">
        <f t="shared" si="10"/>
        <v>Posgrado</v>
      </c>
      <c r="L234" s="98" t="s">
        <v>393</v>
      </c>
    </row>
    <row r="235" spans="3:12" ht="15.75" thickBot="1" x14ac:dyDescent="0.3">
      <c r="C235" s="172" t="s">
        <v>59</v>
      </c>
      <c r="D235" s="163"/>
      <c r="E235" s="154">
        <v>0</v>
      </c>
      <c r="F235" s="117">
        <f>IF(E233&lt;6,"",((E233-6)/12)*(G233/E233))</f>
        <v>0</v>
      </c>
      <c r="G235" s="97">
        <f>F235</f>
        <v>0</v>
      </c>
      <c r="H235" s="164"/>
      <c r="I235" s="101" t="s">
        <v>517</v>
      </c>
      <c r="J235" s="101" t="str">
        <f>VLOOKUP(I235,Presupuesto!$B$11:$C$565,2,0)</f>
        <v>DECIMOCUARTO MES</v>
      </c>
      <c r="K235" s="98" t="str">
        <f t="shared" si="10"/>
        <v>Posgrado</v>
      </c>
      <c r="L235" s="98" t="s">
        <v>393</v>
      </c>
    </row>
    <row r="236" spans="3:12" ht="15.75" thickBot="1" x14ac:dyDescent="0.3">
      <c r="C236" s="137" t="s">
        <v>493</v>
      </c>
      <c r="D236" s="199"/>
      <c r="E236" s="152">
        <v>12</v>
      </c>
      <c r="F236" s="303">
        <f>HLOOKUP($C236,$BZ$2:$CM$3,2,0)</f>
        <v>2007.3</v>
      </c>
      <c r="G236" s="113">
        <f>D236*E236*F236</f>
        <v>0</v>
      </c>
      <c r="H236" s="166"/>
      <c r="I236" s="114" t="s">
        <v>494</v>
      </c>
      <c r="J236" s="114" t="str">
        <f>VLOOKUP(I236,Presupuesto!$B$11:$C$565,2,0)</f>
        <v>SUELDOS Y SALARIOS PERMANENTES</v>
      </c>
      <c r="K236" s="98" t="str">
        <f t="shared" si="10"/>
        <v>Posgrado</v>
      </c>
      <c r="L236" s="98" t="s">
        <v>393</v>
      </c>
    </row>
    <row r="237" spans="3:12" x14ac:dyDescent="0.25">
      <c r="C237" s="171" t="s">
        <v>58</v>
      </c>
      <c r="D237" s="163"/>
      <c r="E237" s="154">
        <v>0</v>
      </c>
      <c r="F237" s="100">
        <f>IF(E236=0,"",(G236/E236)/12*E236)</f>
        <v>0</v>
      </c>
      <c r="G237" s="97">
        <f>F237</f>
        <v>0</v>
      </c>
      <c r="H237" s="164"/>
      <c r="I237" s="116" t="s">
        <v>514</v>
      </c>
      <c r="J237" s="116" t="str">
        <f>VLOOKUP(I237,Presupuesto!$B$11:$C$565,2,0)</f>
        <v>AGUINALDO Y DECIMO CUARTO MES</v>
      </c>
      <c r="K237" s="98" t="str">
        <f t="shared" si="10"/>
        <v>Posgrado</v>
      </c>
      <c r="L237" s="98" t="s">
        <v>393</v>
      </c>
    </row>
    <row r="238" spans="3:12" ht="15.75" thickBot="1" x14ac:dyDescent="0.3">
      <c r="C238" s="172" t="s">
        <v>59</v>
      </c>
      <c r="D238" s="163"/>
      <c r="E238" s="154">
        <v>0</v>
      </c>
      <c r="F238" s="117">
        <f>IF(E236&lt;6,"",((E236-6)/12)*(G236/E236))</f>
        <v>0</v>
      </c>
      <c r="G238" s="97">
        <f>F238</f>
        <v>0</v>
      </c>
      <c r="H238" s="164"/>
      <c r="I238" s="101" t="s">
        <v>517</v>
      </c>
      <c r="J238" s="101" t="str">
        <f>VLOOKUP(I238,Presupuesto!$B$11:$C$565,2,0)</f>
        <v>DECIMOCUARTO MES</v>
      </c>
      <c r="K238" s="98" t="str">
        <f t="shared" si="10"/>
        <v>Posgrado</v>
      </c>
      <c r="L238" s="98" t="s">
        <v>393</v>
      </c>
    </row>
    <row r="239" spans="3:12" ht="15.75" thickBot="1" x14ac:dyDescent="0.3">
      <c r="C239" s="140" t="s">
        <v>83</v>
      </c>
      <c r="D239" s="199"/>
      <c r="E239" s="152">
        <v>12</v>
      </c>
      <c r="F239" s="139">
        <v>30000</v>
      </c>
      <c r="G239" s="113">
        <f>D239*E239*F239</f>
        <v>0</v>
      </c>
      <c r="H239" s="166"/>
      <c r="I239" s="114" t="s">
        <v>562</v>
      </c>
      <c r="J239" s="114" t="str">
        <f>VLOOKUP(I239,Presupuesto!$B$11:$C$565,2,0)</f>
        <v>CONTRATOS ESPECIALES</v>
      </c>
      <c r="K239" s="98" t="str">
        <f t="shared" si="10"/>
        <v>Posgrado</v>
      </c>
      <c r="L239" s="98" t="s">
        <v>393</v>
      </c>
    </row>
    <row r="240" spans="3:12" x14ac:dyDescent="0.25">
      <c r="C240" s="171" t="s">
        <v>58</v>
      </c>
      <c r="D240" s="163"/>
      <c r="E240" s="154">
        <v>0</v>
      </c>
      <c r="F240" s="117">
        <f>IF(E239=0,"",(G239/E239)/12*E239)</f>
        <v>0</v>
      </c>
      <c r="G240" s="97">
        <f>F240</f>
        <v>0</v>
      </c>
      <c r="H240" s="164"/>
      <c r="I240" s="101" t="s">
        <v>562</v>
      </c>
      <c r="J240" s="101" t="str">
        <f>VLOOKUP(I240,Presupuesto!$B$11:$C$565,2,0)</f>
        <v>CONTRATOS ESPECIALES</v>
      </c>
      <c r="K240" s="98" t="str">
        <f t="shared" si="10"/>
        <v>Posgrado</v>
      </c>
      <c r="L240" s="98" t="s">
        <v>392</v>
      </c>
    </row>
    <row r="241" spans="3:12" ht="15.75" thickBot="1" x14ac:dyDescent="0.3">
      <c r="C241" s="172" t="s">
        <v>59</v>
      </c>
      <c r="D241" s="163"/>
      <c r="E241" s="154">
        <v>0</v>
      </c>
      <c r="F241" s="100">
        <f>IF(E239&lt;6,"",((E239-6)/12)*(G239/E239))</f>
        <v>0</v>
      </c>
      <c r="G241" s="97">
        <f>F241</f>
        <v>0</v>
      </c>
      <c r="H241" s="164"/>
      <c r="I241" s="101" t="s">
        <v>562</v>
      </c>
      <c r="J241" s="101" t="str">
        <f>VLOOKUP(I241,Presupuesto!$B$11:$C$565,2,0)</f>
        <v>CONTRATOS ESPECIALES</v>
      </c>
      <c r="K241" s="98" t="str">
        <f t="shared" si="10"/>
        <v>Posgrado</v>
      </c>
      <c r="L241" s="98" t="s">
        <v>397</v>
      </c>
    </row>
    <row r="242" spans="3:12" ht="15.75" thickBot="1" x14ac:dyDescent="0.3">
      <c r="C242" s="140" t="s">
        <v>60</v>
      </c>
      <c r="D242" s="199"/>
      <c r="E242" s="152">
        <v>12</v>
      </c>
      <c r="F242" s="118">
        <v>30000</v>
      </c>
      <c r="G242" s="113">
        <f>D242*E242*F242</f>
        <v>0</v>
      </c>
      <c r="H242" s="166"/>
      <c r="I242" s="114" t="s">
        <v>703</v>
      </c>
      <c r="J242" s="114" t="str">
        <f>VLOOKUP(I242,Presupuesto!$B$11:$C$565,2,0)</f>
        <v>OTROS SERVICIOS TECNICOS Y PROFESIONALES</v>
      </c>
      <c r="K242" s="98" t="str">
        <f t="shared" si="10"/>
        <v>Posgrado</v>
      </c>
      <c r="L242" s="98" t="s">
        <v>392</v>
      </c>
    </row>
    <row r="243" spans="3:12" x14ac:dyDescent="0.25">
      <c r="C243" s="171" t="s">
        <v>58</v>
      </c>
      <c r="D243" s="163"/>
      <c r="E243" s="154">
        <v>0</v>
      </c>
      <c r="F243" s="100">
        <v>0</v>
      </c>
      <c r="G243" s="97">
        <f>F243</f>
        <v>0</v>
      </c>
      <c r="H243" s="164"/>
      <c r="I243" s="101" t="s">
        <v>703</v>
      </c>
      <c r="J243" s="101" t="str">
        <f>VLOOKUP(I243,Presupuesto!$B$11:$C$565,2,0)</f>
        <v>OTROS SERVICIOS TECNICOS Y PROFESIONALES</v>
      </c>
      <c r="K243" s="98" t="str">
        <f t="shared" si="10"/>
        <v>Posgrado</v>
      </c>
      <c r="L243" s="98" t="s">
        <v>392</v>
      </c>
    </row>
    <row r="244" spans="3:12" ht="15.75" thickBot="1" x14ac:dyDescent="0.3">
      <c r="C244" s="172" t="s">
        <v>59</v>
      </c>
      <c r="D244" s="163"/>
      <c r="E244" s="154">
        <v>0</v>
      </c>
      <c r="F244" s="100">
        <v>0</v>
      </c>
      <c r="G244" s="97">
        <f>F244</f>
        <v>0</v>
      </c>
      <c r="H244" s="164"/>
      <c r="I244" s="101" t="s">
        <v>703</v>
      </c>
      <c r="J244" s="101" t="str">
        <f>VLOOKUP(I244,Presupuesto!$B$11:$C$565,2,0)</f>
        <v>OTROS SERVICIOS TECNICOS Y PROFESIONALES</v>
      </c>
      <c r="K244" s="98" t="str">
        <f t="shared" si="10"/>
        <v>Posgrado</v>
      </c>
      <c r="L244" s="98" t="s">
        <v>392</v>
      </c>
    </row>
    <row r="245" spans="3:12" ht="15.75" thickBot="1" x14ac:dyDescent="0.3">
      <c r="C245" s="140" t="s">
        <v>61</v>
      </c>
      <c r="D245" s="199"/>
      <c r="E245" s="152">
        <v>12</v>
      </c>
      <c r="F245" s="118">
        <v>30000</v>
      </c>
      <c r="G245" s="113">
        <f>D245*E245*F245</f>
        <v>0</v>
      </c>
      <c r="H245" s="166"/>
      <c r="I245" s="114" t="s">
        <v>494</v>
      </c>
      <c r="J245" s="114" t="str">
        <f>VLOOKUP(I245,Presupuesto!$B$11:$C$565,2,0)</f>
        <v>SUELDOS Y SALARIOS PERMANENTES</v>
      </c>
      <c r="K245" s="98" t="str">
        <f t="shared" si="10"/>
        <v>Posgrado</v>
      </c>
      <c r="L245" s="98" t="s">
        <v>392</v>
      </c>
    </row>
    <row r="246" spans="3:12" x14ac:dyDescent="0.25">
      <c r="C246" s="171" t="s">
        <v>58</v>
      </c>
      <c r="D246" s="169"/>
      <c r="E246" s="131">
        <v>0</v>
      </c>
      <c r="F246" s="119">
        <f>IF(E245=0,"",(G245/E245)/12*E245)</f>
        <v>0</v>
      </c>
      <c r="G246" s="120">
        <f>F246</f>
        <v>0</v>
      </c>
      <c r="H246" s="164"/>
      <c r="I246" s="101" t="s">
        <v>514</v>
      </c>
      <c r="J246" s="101" t="str">
        <f>VLOOKUP(I246,Presupuesto!$B$11:$C$565,2,0)</f>
        <v>AGUINALDO Y DECIMO CUARTO MES</v>
      </c>
      <c r="K246" s="98" t="str">
        <f t="shared" si="10"/>
        <v>Posgrado</v>
      </c>
      <c r="L246" s="98" t="s">
        <v>392</v>
      </c>
    </row>
    <row r="247" spans="3:12" ht="15.75" thickBot="1" x14ac:dyDescent="0.3">
      <c r="C247" s="173" t="s">
        <v>59</v>
      </c>
      <c r="D247" s="162"/>
      <c r="E247" s="132">
        <v>0</v>
      </c>
      <c r="F247" s="105">
        <f>IF(E245&lt;6,"",((E245-6)/12)*(G245/E245))</f>
        <v>0</v>
      </c>
      <c r="G247" s="105">
        <f>F247</f>
        <v>0</v>
      </c>
      <c r="H247" s="162"/>
      <c r="I247" s="106" t="s">
        <v>517</v>
      </c>
      <c r="J247" s="124" t="str">
        <f>VLOOKUP(I247,Presupuesto!$B$11:$C$565,2,0)</f>
        <v>DECIMOCUARTO MES</v>
      </c>
      <c r="K247" s="106" t="str">
        <f t="shared" si="10"/>
        <v>Posgrado</v>
      </c>
      <c r="L247" s="124" t="s">
        <v>392</v>
      </c>
    </row>
    <row r="249" spans="3:12" ht="15.75" thickBot="1" x14ac:dyDescent="0.3">
      <c r="K249" s="153"/>
    </row>
    <row r="250" spans="3:12" ht="15.75" thickBot="1" x14ac:dyDescent="0.3">
      <c r="C250" s="69" t="s">
        <v>43</v>
      </c>
      <c r="D250" s="30">
        <f>SUM(G257:G307)</f>
        <v>0</v>
      </c>
      <c r="E250" s="93"/>
      <c r="F250" s="93"/>
      <c r="G250" s="93"/>
      <c r="H250" s="76"/>
      <c r="I250" s="76"/>
      <c r="J250" s="76"/>
      <c r="K250" s="153"/>
    </row>
    <row r="251" spans="3:12" x14ac:dyDescent="0.25">
      <c r="D251" s="31"/>
      <c r="E251" s="93"/>
      <c r="F251" s="93"/>
      <c r="G251" s="93"/>
      <c r="H251" s="76"/>
      <c r="I251" s="76"/>
      <c r="J251" s="76"/>
      <c r="K251" s="153"/>
    </row>
    <row r="252" spans="3:12" x14ac:dyDescent="0.25">
      <c r="D252" s="31"/>
      <c r="E252" s="93"/>
      <c r="F252" s="93"/>
      <c r="G252" s="93"/>
      <c r="H252" s="76"/>
      <c r="I252" s="76"/>
      <c r="J252" s="76"/>
      <c r="K252" s="153"/>
    </row>
    <row r="253" spans="3:12" ht="15.75" x14ac:dyDescent="0.25">
      <c r="C253" s="202" t="s">
        <v>390</v>
      </c>
      <c r="D253" s="368"/>
      <c r="E253" s="93"/>
      <c r="F253" s="93"/>
      <c r="G253" s="93"/>
      <c r="H253" s="76"/>
      <c r="I253" s="76"/>
      <c r="J253" s="76"/>
      <c r="K253" s="153"/>
    </row>
    <row r="254" spans="3:12" ht="18.75" x14ac:dyDescent="0.25">
      <c r="C254" s="210" t="e">
        <f>IFERROR(VLOOKUP(D253,'1. Desarrollo e Innov. Curricu.'!$F:$G,2,FALSE),IFERROR(VLOOKUP(D253,'2. Investigación Científica'!$F:$G,2,FALSE),IFERROR(VLOOKUP(D253,'3. Vinculación Univ. Sociedad'!$F:$G,2,FALSE),IFERROR(VLOOKUP(D253,'4. Docencia y Profesorado Univ.'!$F:$G,2,FALSE),IFERROR(VLOOKUP(D253,'5. Estudiantes y Graduados'!$F:$G,2,FALSE),IFERROR(VLOOKUP(D253,'11. Gestion Administrativa'!$F:$G,2,FALSE),IFERROR(VLOOKUP(D253,'13. Gestión Académica'!$F:$G,2,FALSE),IFERROR(VLOOKUP(D253,'9. Asegura. de la Calid. y M'!$F:$G,2,FALSE),IFERROR(VLOOKUP(D253,'6. Gestión del Conocimiento'!$F:$G,2,FALSE),IFERROR(VLOOKUP(D253,'15. Gobernabilidad y Proceso...'!$G:$H,2,FALSE),IFERROR(VLOOKUP(D253,'12. Gestión del Talento Humano'!$F:$G,2,FALSE),IFERROR(VLOOKUP(D253,'14. Internacional... de la E.S.'!$F:$G,2,FALSE),IFERROR(VLOOKUP(D253,'10. Posgrado'!$F:$G,2,FALSE),IFERROR(VLOOKUP(D253,'17. Gestión TIC'!$F:$G,2,FALSE),IFERROR(VLOOKUP(D253,'16. Desa. del Sistema Educ.Sup.'!$F:$G,2,FALSE),IFERROR(VLOOKUP(D253,'8. Cultura de Inno. Insti...'!$F:$G,2,FALSE),VLOOKUP(D253,'7. Lo Esencial de la Reforma U.'!$G:$H,2,0)))))))))))))))))</f>
        <v>#N/A</v>
      </c>
      <c r="D254" s="31"/>
      <c r="E254" s="93"/>
      <c r="F254" s="93"/>
      <c r="G254" s="93"/>
      <c r="H254" s="76"/>
      <c r="I254" s="76"/>
      <c r="J254" s="76"/>
      <c r="K254" s="153"/>
    </row>
    <row r="255" spans="3:12" ht="15.75" thickBot="1" x14ac:dyDescent="0.3">
      <c r="C255" s="177"/>
      <c r="D255" s="31"/>
      <c r="E255" s="93"/>
      <c r="F255" s="93"/>
      <c r="G255" s="93"/>
      <c r="H255" s="76"/>
      <c r="I255" s="76"/>
      <c r="J255" s="76"/>
      <c r="K255" s="153"/>
    </row>
    <row r="256" spans="3:12" ht="30.75" thickBot="1" x14ac:dyDescent="0.3">
      <c r="C256" s="134" t="s">
        <v>44</v>
      </c>
      <c r="D256" s="138" t="s">
        <v>55</v>
      </c>
      <c r="E256" s="170" t="s">
        <v>56</v>
      </c>
      <c r="F256" s="138" t="s">
        <v>57</v>
      </c>
      <c r="G256" s="135" t="s">
        <v>27</v>
      </c>
      <c r="H256" s="133" t="s">
        <v>129</v>
      </c>
      <c r="I256" s="136" t="s">
        <v>46</v>
      </c>
      <c r="J256" s="136" t="s">
        <v>130</v>
      </c>
      <c r="K256" s="136" t="s">
        <v>408</v>
      </c>
      <c r="L256" s="136" t="s">
        <v>409</v>
      </c>
    </row>
    <row r="257" spans="3:12" ht="15.75" thickBot="1" x14ac:dyDescent="0.3">
      <c r="C257" s="137" t="s">
        <v>480</v>
      </c>
      <c r="D257" s="199"/>
      <c r="E257" s="152">
        <v>12</v>
      </c>
      <c r="F257" s="303">
        <f>HLOOKUP($C257,$BZ$2:$CM$3,2,0)</f>
        <v>43674.39</v>
      </c>
      <c r="G257" s="113">
        <f>D257*E257*F257</f>
        <v>0</v>
      </c>
      <c r="H257" s="166"/>
      <c r="I257" s="114" t="s">
        <v>494</v>
      </c>
      <c r="J257" s="114" t="str">
        <f>VLOOKUP(I257,Presupuesto!$B$11:$C$565,2,0)</f>
        <v>SUELDOS Y SALARIOS PERMANENTES</v>
      </c>
      <c r="K257" s="218" t="s">
        <v>1443</v>
      </c>
      <c r="L257" s="98" t="s">
        <v>392</v>
      </c>
    </row>
    <row r="258" spans="3:12" x14ac:dyDescent="0.25">
      <c r="C258" s="171" t="s">
        <v>58</v>
      </c>
      <c r="D258" s="163"/>
      <c r="E258" s="154">
        <v>0</v>
      </c>
      <c r="F258" s="100">
        <f>IF(E257=0,"",(G257/E257)/12*E257)</f>
        <v>0</v>
      </c>
      <c r="G258" s="97">
        <f>F258</f>
        <v>0</v>
      </c>
      <c r="H258" s="164"/>
      <c r="I258" s="116" t="s">
        <v>514</v>
      </c>
      <c r="J258" s="116" t="str">
        <f>VLOOKUP(I258,Presupuesto!$B$11:$C$565,2,0)</f>
        <v>AGUINALDO Y DECIMO CUARTO MES</v>
      </c>
      <c r="K258" s="98" t="str">
        <f t="shared" ref="K258:K289" si="11">$K$257</f>
        <v>Posgrado</v>
      </c>
      <c r="L258" s="98" t="s">
        <v>410</v>
      </c>
    </row>
    <row r="259" spans="3:12" ht="15.75" thickBot="1" x14ac:dyDescent="0.3">
      <c r="C259" s="172" t="s">
        <v>59</v>
      </c>
      <c r="D259" s="163"/>
      <c r="E259" s="154">
        <v>0</v>
      </c>
      <c r="F259" s="117">
        <f>IF(E257&lt;6,"",((E257-6)/12)*(G257/E257))</f>
        <v>0</v>
      </c>
      <c r="G259" s="97">
        <f>F259</f>
        <v>0</v>
      </c>
      <c r="H259" s="164"/>
      <c r="I259" s="101" t="s">
        <v>517</v>
      </c>
      <c r="J259" s="101" t="str">
        <f>VLOOKUP(I259,Presupuesto!$B$11:$C$565,2,0)</f>
        <v>DECIMOCUARTO MES</v>
      </c>
      <c r="K259" s="98" t="str">
        <f t="shared" si="11"/>
        <v>Posgrado</v>
      </c>
      <c r="L259" s="98" t="s">
        <v>393</v>
      </c>
    </row>
    <row r="260" spans="3:12" ht="15.75" thickBot="1" x14ac:dyDescent="0.3">
      <c r="C260" s="137" t="s">
        <v>481</v>
      </c>
      <c r="D260" s="199"/>
      <c r="E260" s="152">
        <v>12</v>
      </c>
      <c r="F260" s="303">
        <f>HLOOKUP($C260,$BZ$2:$CM$3,2,0)</f>
        <v>39703.99</v>
      </c>
      <c r="G260" s="113">
        <f>D260*E260*F260</f>
        <v>0</v>
      </c>
      <c r="H260" s="166"/>
      <c r="I260" s="114" t="s">
        <v>494</v>
      </c>
      <c r="J260" s="114" t="str">
        <f>VLOOKUP(I260,Presupuesto!$B$11:$C$565,2,0)</f>
        <v>SUELDOS Y SALARIOS PERMANENTES</v>
      </c>
      <c r="K260" s="98" t="str">
        <f t="shared" si="11"/>
        <v>Posgrado</v>
      </c>
      <c r="L260" s="98" t="s">
        <v>393</v>
      </c>
    </row>
    <row r="261" spans="3:12" x14ac:dyDescent="0.25">
      <c r="C261" s="171" t="s">
        <v>58</v>
      </c>
      <c r="D261" s="163"/>
      <c r="E261" s="154">
        <v>0</v>
      </c>
      <c r="F261" s="100">
        <f>IF(E260=0,"",(G260/E260)/12*E260)</f>
        <v>0</v>
      </c>
      <c r="G261" s="97">
        <f>F261</f>
        <v>0</v>
      </c>
      <c r="H261" s="164"/>
      <c r="I261" s="116" t="s">
        <v>514</v>
      </c>
      <c r="J261" s="116" t="str">
        <f>VLOOKUP(I261,Presupuesto!$B$11:$C$565,2,0)</f>
        <v>AGUINALDO Y DECIMO CUARTO MES</v>
      </c>
      <c r="K261" s="98" t="str">
        <f t="shared" si="11"/>
        <v>Posgrado</v>
      </c>
      <c r="L261" s="98" t="s">
        <v>393</v>
      </c>
    </row>
    <row r="262" spans="3:12" ht="15.75" thickBot="1" x14ac:dyDescent="0.3">
      <c r="C262" s="172" t="s">
        <v>59</v>
      </c>
      <c r="D262" s="163"/>
      <c r="E262" s="154">
        <v>0</v>
      </c>
      <c r="F262" s="117">
        <f>IF(E260&lt;6,"",((E260-6)/12)*(G260/E260))</f>
        <v>0</v>
      </c>
      <c r="G262" s="97">
        <f>F262</f>
        <v>0</v>
      </c>
      <c r="H262" s="164"/>
      <c r="I262" s="101" t="s">
        <v>517</v>
      </c>
      <c r="J262" s="101" t="str">
        <f>VLOOKUP(I262,Presupuesto!$B$11:$C$565,2,0)</f>
        <v>DECIMOCUARTO MES</v>
      </c>
      <c r="K262" s="98" t="str">
        <f t="shared" si="11"/>
        <v>Posgrado</v>
      </c>
      <c r="L262" s="98" t="s">
        <v>393</v>
      </c>
    </row>
    <row r="263" spans="3:12" ht="15.75" thickBot="1" x14ac:dyDescent="0.3">
      <c r="C263" s="137" t="s">
        <v>482</v>
      </c>
      <c r="D263" s="199"/>
      <c r="E263" s="152">
        <v>12</v>
      </c>
      <c r="F263" s="303">
        <f>HLOOKUP($C263,$BZ$2:$CM$3,2,0)</f>
        <v>35733.589999999997</v>
      </c>
      <c r="G263" s="113">
        <f>D263*E263*F263</f>
        <v>0</v>
      </c>
      <c r="H263" s="166"/>
      <c r="I263" s="114" t="s">
        <v>494</v>
      </c>
      <c r="J263" s="114" t="str">
        <f>VLOOKUP(I263,Presupuesto!$B$11:$C$565,2,0)</f>
        <v>SUELDOS Y SALARIOS PERMANENTES</v>
      </c>
      <c r="K263" s="98" t="str">
        <f t="shared" si="11"/>
        <v>Posgrado</v>
      </c>
      <c r="L263" s="98" t="s">
        <v>393</v>
      </c>
    </row>
    <row r="264" spans="3:12" x14ac:dyDescent="0.25">
      <c r="C264" s="171" t="s">
        <v>58</v>
      </c>
      <c r="D264" s="163"/>
      <c r="E264" s="154">
        <v>0</v>
      </c>
      <c r="F264" s="100">
        <f>IF(E263=0,"",(G263/E263)/12*E263)</f>
        <v>0</v>
      </c>
      <c r="G264" s="97">
        <f>F264</f>
        <v>0</v>
      </c>
      <c r="H264" s="164"/>
      <c r="I264" s="116" t="s">
        <v>514</v>
      </c>
      <c r="J264" s="116" t="str">
        <f>VLOOKUP(I264,Presupuesto!$B$11:$C$565,2,0)</f>
        <v>AGUINALDO Y DECIMO CUARTO MES</v>
      </c>
      <c r="K264" s="98" t="str">
        <f t="shared" si="11"/>
        <v>Posgrado</v>
      </c>
      <c r="L264" s="98" t="s">
        <v>393</v>
      </c>
    </row>
    <row r="265" spans="3:12" ht="15.75" thickBot="1" x14ac:dyDescent="0.3">
      <c r="C265" s="172" t="s">
        <v>59</v>
      </c>
      <c r="D265" s="163"/>
      <c r="E265" s="154">
        <v>0</v>
      </c>
      <c r="F265" s="117">
        <f>IF(E263&lt;6,"",((E263-6)/12)*(G263/E263))</f>
        <v>0</v>
      </c>
      <c r="G265" s="97">
        <f>F265</f>
        <v>0</v>
      </c>
      <c r="H265" s="164"/>
      <c r="I265" s="101" t="s">
        <v>517</v>
      </c>
      <c r="J265" s="101" t="str">
        <f>VLOOKUP(I265,Presupuesto!$B$11:$C$565,2,0)</f>
        <v>DECIMOCUARTO MES</v>
      </c>
      <c r="K265" s="98" t="str">
        <f t="shared" si="11"/>
        <v>Posgrado</v>
      </c>
      <c r="L265" s="98" t="s">
        <v>393</v>
      </c>
    </row>
    <row r="266" spans="3:12" ht="15.75" thickBot="1" x14ac:dyDescent="0.3">
      <c r="C266" s="137" t="s">
        <v>483</v>
      </c>
      <c r="D266" s="199"/>
      <c r="E266" s="152">
        <v>12</v>
      </c>
      <c r="F266" s="303">
        <f>HLOOKUP($C266,$BZ$2:$CM$3,2,0)</f>
        <v>31763.19</v>
      </c>
      <c r="G266" s="113">
        <f>D266*E266*F266</f>
        <v>0</v>
      </c>
      <c r="H266" s="166"/>
      <c r="I266" s="114" t="s">
        <v>494</v>
      </c>
      <c r="J266" s="114" t="str">
        <f>VLOOKUP(I266,Presupuesto!$B$11:$C$565,2,0)</f>
        <v>SUELDOS Y SALARIOS PERMANENTES</v>
      </c>
      <c r="K266" s="98" t="str">
        <f t="shared" si="11"/>
        <v>Posgrado</v>
      </c>
      <c r="L266" s="98" t="s">
        <v>393</v>
      </c>
    </row>
    <row r="267" spans="3:12" x14ac:dyDescent="0.25">
      <c r="C267" s="171" t="s">
        <v>58</v>
      </c>
      <c r="D267" s="163"/>
      <c r="E267" s="154">
        <v>0</v>
      </c>
      <c r="F267" s="100">
        <f>IF(E266=0,"",(G266/E266)/12*E266)</f>
        <v>0</v>
      </c>
      <c r="G267" s="97">
        <f>F267</f>
        <v>0</v>
      </c>
      <c r="H267" s="164"/>
      <c r="I267" s="116" t="s">
        <v>514</v>
      </c>
      <c r="J267" s="116" t="str">
        <f>VLOOKUP(I267,Presupuesto!$B$11:$C$565,2,0)</f>
        <v>AGUINALDO Y DECIMO CUARTO MES</v>
      </c>
      <c r="K267" s="98" t="str">
        <f t="shared" si="11"/>
        <v>Posgrado</v>
      </c>
      <c r="L267" s="98" t="s">
        <v>393</v>
      </c>
    </row>
    <row r="268" spans="3:12" ht="15.75" thickBot="1" x14ac:dyDescent="0.3">
      <c r="C268" s="172" t="s">
        <v>59</v>
      </c>
      <c r="D268" s="163"/>
      <c r="E268" s="154">
        <v>0</v>
      </c>
      <c r="F268" s="117">
        <f>IF(E266&lt;6,"",((E266-6)/12)*(G266/E266))</f>
        <v>0</v>
      </c>
      <c r="G268" s="97">
        <f>F268</f>
        <v>0</v>
      </c>
      <c r="H268" s="164"/>
      <c r="I268" s="101" t="s">
        <v>517</v>
      </c>
      <c r="J268" s="101" t="str">
        <f>VLOOKUP(I268,Presupuesto!$B$11:$C$565,2,0)</f>
        <v>DECIMOCUARTO MES</v>
      </c>
      <c r="K268" s="98" t="str">
        <f t="shared" si="11"/>
        <v>Posgrado</v>
      </c>
      <c r="L268" s="98" t="s">
        <v>393</v>
      </c>
    </row>
    <row r="269" spans="3:12" ht="15.75" thickBot="1" x14ac:dyDescent="0.3">
      <c r="C269" s="137" t="s">
        <v>484</v>
      </c>
      <c r="D269" s="199"/>
      <c r="E269" s="152">
        <v>12</v>
      </c>
      <c r="F269" s="303">
        <f>HLOOKUP($C269,$BZ$2:$CM$3,2,0)</f>
        <v>29777.99</v>
      </c>
      <c r="G269" s="113">
        <f>D269*E269*F269</f>
        <v>0</v>
      </c>
      <c r="H269" s="166"/>
      <c r="I269" s="114" t="s">
        <v>494</v>
      </c>
      <c r="J269" s="114" t="str">
        <f>VLOOKUP(I269,Presupuesto!$B$11:$C$565,2,0)</f>
        <v>SUELDOS Y SALARIOS PERMANENTES</v>
      </c>
      <c r="K269" s="98" t="str">
        <f t="shared" si="11"/>
        <v>Posgrado</v>
      </c>
      <c r="L269" s="98" t="s">
        <v>393</v>
      </c>
    </row>
    <row r="270" spans="3:12" x14ac:dyDescent="0.25">
      <c r="C270" s="171" t="s">
        <v>58</v>
      </c>
      <c r="D270" s="163"/>
      <c r="E270" s="154">
        <v>0</v>
      </c>
      <c r="F270" s="100">
        <f>IF(E269=0,"",(G269/E269)/12*E269)</f>
        <v>0</v>
      </c>
      <c r="G270" s="97">
        <f>F270</f>
        <v>0</v>
      </c>
      <c r="H270" s="164"/>
      <c r="I270" s="116" t="s">
        <v>514</v>
      </c>
      <c r="J270" s="116" t="str">
        <f>VLOOKUP(I270,Presupuesto!$B$11:$C$565,2,0)</f>
        <v>AGUINALDO Y DECIMO CUARTO MES</v>
      </c>
      <c r="K270" s="98" t="str">
        <f t="shared" si="11"/>
        <v>Posgrado</v>
      </c>
      <c r="L270" s="98" t="s">
        <v>393</v>
      </c>
    </row>
    <row r="271" spans="3:12" ht="15.75" thickBot="1" x14ac:dyDescent="0.3">
      <c r="C271" s="172" t="s">
        <v>59</v>
      </c>
      <c r="D271" s="163"/>
      <c r="E271" s="154">
        <v>0</v>
      </c>
      <c r="F271" s="117">
        <f>IF(E269&lt;6,"",((E269-6)/12)*(G269/E269))</f>
        <v>0</v>
      </c>
      <c r="G271" s="97">
        <f>F271</f>
        <v>0</v>
      </c>
      <c r="H271" s="164"/>
      <c r="I271" s="101" t="s">
        <v>517</v>
      </c>
      <c r="J271" s="101" t="str">
        <f>VLOOKUP(I271,Presupuesto!$B$11:$C$565,2,0)</f>
        <v>DECIMOCUARTO MES</v>
      </c>
      <c r="K271" s="98" t="str">
        <f t="shared" si="11"/>
        <v>Posgrado</v>
      </c>
      <c r="L271" s="98" t="s">
        <v>393</v>
      </c>
    </row>
    <row r="272" spans="3:12" ht="15.75" thickBot="1" x14ac:dyDescent="0.3">
      <c r="C272" s="137" t="s">
        <v>485</v>
      </c>
      <c r="D272" s="199"/>
      <c r="E272" s="152">
        <v>12</v>
      </c>
      <c r="F272" s="303">
        <f>HLOOKUP($C272,$BZ$2:$CM$3,2,0)</f>
        <v>27792.79</v>
      </c>
      <c r="G272" s="113">
        <f>D272*E272*F272</f>
        <v>0</v>
      </c>
      <c r="H272" s="166"/>
      <c r="I272" s="114" t="s">
        <v>494</v>
      </c>
      <c r="J272" s="114" t="str">
        <f>VLOOKUP(I272,Presupuesto!$B$11:$C$565,2,0)</f>
        <v>SUELDOS Y SALARIOS PERMANENTES</v>
      </c>
      <c r="K272" s="98" t="str">
        <f t="shared" si="11"/>
        <v>Posgrado</v>
      </c>
      <c r="L272" s="98" t="s">
        <v>393</v>
      </c>
    </row>
    <row r="273" spans="3:12" x14ac:dyDescent="0.25">
      <c r="C273" s="171" t="s">
        <v>58</v>
      </c>
      <c r="D273" s="163"/>
      <c r="E273" s="154">
        <v>0</v>
      </c>
      <c r="F273" s="100">
        <f>IF(E272=0,"",(G272/E272)/12*E272)</f>
        <v>0</v>
      </c>
      <c r="G273" s="97">
        <f>F273</f>
        <v>0</v>
      </c>
      <c r="H273" s="164"/>
      <c r="I273" s="116" t="s">
        <v>514</v>
      </c>
      <c r="J273" s="116" t="str">
        <f>VLOOKUP(I273,Presupuesto!$B$11:$C$565,2,0)</f>
        <v>AGUINALDO Y DECIMO CUARTO MES</v>
      </c>
      <c r="K273" s="98" t="str">
        <f t="shared" si="11"/>
        <v>Posgrado</v>
      </c>
      <c r="L273" s="98" t="s">
        <v>393</v>
      </c>
    </row>
    <row r="274" spans="3:12" ht="15.75" thickBot="1" x14ac:dyDescent="0.3">
      <c r="C274" s="172" t="s">
        <v>59</v>
      </c>
      <c r="D274" s="163"/>
      <c r="E274" s="154">
        <v>0</v>
      </c>
      <c r="F274" s="117">
        <f>IF(E272&lt;6,"",((E272-6)/12)*(G272/E272))</f>
        <v>0</v>
      </c>
      <c r="G274" s="97">
        <f>F274</f>
        <v>0</v>
      </c>
      <c r="H274" s="164"/>
      <c r="I274" s="101" t="s">
        <v>517</v>
      </c>
      <c r="J274" s="101" t="str">
        <f>VLOOKUP(I274,Presupuesto!$B$11:$C$565,2,0)</f>
        <v>DECIMOCUARTO MES</v>
      </c>
      <c r="K274" s="98" t="str">
        <f t="shared" si="11"/>
        <v>Posgrado</v>
      </c>
      <c r="L274" s="98" t="s">
        <v>393</v>
      </c>
    </row>
    <row r="275" spans="3:12" ht="15.75" thickBot="1" x14ac:dyDescent="0.3">
      <c r="C275" s="137" t="s">
        <v>486</v>
      </c>
      <c r="D275" s="199"/>
      <c r="E275" s="152">
        <v>12</v>
      </c>
      <c r="F275" s="303">
        <f>HLOOKUP($C275,$BZ$2:$CM$3,2,0)</f>
        <v>18859.39</v>
      </c>
      <c r="G275" s="113">
        <f>D275*E275*F275</f>
        <v>0</v>
      </c>
      <c r="H275" s="166"/>
      <c r="I275" s="114" t="s">
        <v>494</v>
      </c>
      <c r="J275" s="114" t="str">
        <f>VLOOKUP(I275,Presupuesto!$B$11:$C$565,2,0)</f>
        <v>SUELDOS Y SALARIOS PERMANENTES</v>
      </c>
      <c r="K275" s="98" t="str">
        <f t="shared" si="11"/>
        <v>Posgrado</v>
      </c>
      <c r="L275" s="98" t="s">
        <v>393</v>
      </c>
    </row>
    <row r="276" spans="3:12" x14ac:dyDescent="0.25">
      <c r="C276" s="171" t="s">
        <v>58</v>
      </c>
      <c r="D276" s="163"/>
      <c r="E276" s="154">
        <v>0</v>
      </c>
      <c r="F276" s="100">
        <f>IF(E275=0,"",(G275/E275)/12*E275)</f>
        <v>0</v>
      </c>
      <c r="G276" s="97">
        <f>F276</f>
        <v>0</v>
      </c>
      <c r="H276" s="164"/>
      <c r="I276" s="116" t="s">
        <v>514</v>
      </c>
      <c r="J276" s="116" t="str">
        <f>VLOOKUP(I276,Presupuesto!$B$11:$C$565,2,0)</f>
        <v>AGUINALDO Y DECIMO CUARTO MES</v>
      </c>
      <c r="K276" s="98" t="str">
        <f t="shared" si="11"/>
        <v>Posgrado</v>
      </c>
      <c r="L276" s="98" t="s">
        <v>393</v>
      </c>
    </row>
    <row r="277" spans="3:12" ht="15.75" thickBot="1" x14ac:dyDescent="0.3">
      <c r="C277" s="172" t="s">
        <v>59</v>
      </c>
      <c r="D277" s="163"/>
      <c r="E277" s="154">
        <v>0</v>
      </c>
      <c r="F277" s="117">
        <f>IF(E275&lt;6,"",((E275-6)/12)*(G275/E275))</f>
        <v>0</v>
      </c>
      <c r="G277" s="97">
        <f>F277</f>
        <v>0</v>
      </c>
      <c r="H277" s="164"/>
      <c r="I277" s="101" t="s">
        <v>517</v>
      </c>
      <c r="J277" s="101" t="str">
        <f>VLOOKUP(I277,Presupuesto!$B$11:$C$565,2,0)</f>
        <v>DECIMOCUARTO MES</v>
      </c>
      <c r="K277" s="98" t="str">
        <f t="shared" si="11"/>
        <v>Posgrado</v>
      </c>
      <c r="L277" s="98" t="s">
        <v>393</v>
      </c>
    </row>
    <row r="278" spans="3:12" ht="15.75" thickBot="1" x14ac:dyDescent="0.3">
      <c r="C278" s="137" t="s">
        <v>487</v>
      </c>
      <c r="D278" s="199"/>
      <c r="E278" s="152">
        <v>12</v>
      </c>
      <c r="F278" s="303">
        <f>HLOOKUP($C278,$BZ$2:$CM$3,2,0)</f>
        <v>17866.8</v>
      </c>
      <c r="G278" s="113">
        <f>D278*E278*F278</f>
        <v>0</v>
      </c>
      <c r="H278" s="166"/>
      <c r="I278" s="114" t="s">
        <v>494</v>
      </c>
      <c r="J278" s="114" t="str">
        <f>VLOOKUP(I278,Presupuesto!$B$11:$C$565,2,0)</f>
        <v>SUELDOS Y SALARIOS PERMANENTES</v>
      </c>
      <c r="K278" s="98" t="str">
        <f t="shared" si="11"/>
        <v>Posgrado</v>
      </c>
      <c r="L278" s="98" t="s">
        <v>393</v>
      </c>
    </row>
    <row r="279" spans="3:12" x14ac:dyDescent="0.25">
      <c r="C279" s="171" t="s">
        <v>58</v>
      </c>
      <c r="D279" s="163"/>
      <c r="E279" s="154">
        <v>0</v>
      </c>
      <c r="F279" s="100">
        <f>IF(E278=0,"",(G278/E278)/12*E278)</f>
        <v>0</v>
      </c>
      <c r="G279" s="97">
        <f>F279</f>
        <v>0</v>
      </c>
      <c r="H279" s="164"/>
      <c r="I279" s="116" t="s">
        <v>514</v>
      </c>
      <c r="J279" s="116" t="str">
        <f>VLOOKUP(I279,Presupuesto!$B$11:$C$565,2,0)</f>
        <v>AGUINALDO Y DECIMO CUARTO MES</v>
      </c>
      <c r="K279" s="98" t="str">
        <f t="shared" si="11"/>
        <v>Posgrado</v>
      </c>
      <c r="L279" s="98" t="s">
        <v>393</v>
      </c>
    </row>
    <row r="280" spans="3:12" ht="15.75" thickBot="1" x14ac:dyDescent="0.3">
      <c r="C280" s="172" t="s">
        <v>59</v>
      </c>
      <c r="D280" s="163"/>
      <c r="E280" s="154">
        <v>0</v>
      </c>
      <c r="F280" s="117">
        <f>IF(E278&lt;6,"",((E278-6)/12)*(G278/E278))</f>
        <v>0</v>
      </c>
      <c r="G280" s="97">
        <f>F280</f>
        <v>0</v>
      </c>
      <c r="H280" s="164"/>
      <c r="I280" s="101" t="s">
        <v>517</v>
      </c>
      <c r="J280" s="101" t="str">
        <f>VLOOKUP(I280,Presupuesto!$B$11:$C$565,2,0)</f>
        <v>DECIMOCUARTO MES</v>
      </c>
      <c r="K280" s="98" t="str">
        <f t="shared" si="11"/>
        <v>Posgrado</v>
      </c>
      <c r="L280" s="98" t="s">
        <v>393</v>
      </c>
    </row>
    <row r="281" spans="3:12" ht="15.75" thickBot="1" x14ac:dyDescent="0.3">
      <c r="C281" s="137" t="s">
        <v>488</v>
      </c>
      <c r="D281" s="199"/>
      <c r="E281" s="152">
        <v>12</v>
      </c>
      <c r="F281" s="303">
        <f>HLOOKUP($C281,$BZ$2:$CM$3,2,0)</f>
        <v>13896.4</v>
      </c>
      <c r="G281" s="113">
        <f>D281*E281*F281</f>
        <v>0</v>
      </c>
      <c r="H281" s="166"/>
      <c r="I281" s="114" t="s">
        <v>494</v>
      </c>
      <c r="J281" s="114" t="str">
        <f>VLOOKUP(I281,Presupuesto!$B$11:$C$565,2,0)</f>
        <v>SUELDOS Y SALARIOS PERMANENTES</v>
      </c>
      <c r="K281" s="98" t="str">
        <f t="shared" si="11"/>
        <v>Posgrado</v>
      </c>
      <c r="L281" s="98" t="s">
        <v>393</v>
      </c>
    </row>
    <row r="282" spans="3:12" x14ac:dyDescent="0.25">
      <c r="C282" s="171" t="s">
        <v>58</v>
      </c>
      <c r="D282" s="163"/>
      <c r="E282" s="154">
        <v>0</v>
      </c>
      <c r="F282" s="100">
        <f>IF(E281=0,"",(G281/E281)/12*E281)</f>
        <v>0</v>
      </c>
      <c r="G282" s="97">
        <f>F282</f>
        <v>0</v>
      </c>
      <c r="H282" s="164"/>
      <c r="I282" s="116" t="s">
        <v>514</v>
      </c>
      <c r="J282" s="116" t="str">
        <f>VLOOKUP(I282,Presupuesto!$B$11:$C$565,2,0)</f>
        <v>AGUINALDO Y DECIMO CUARTO MES</v>
      </c>
      <c r="K282" s="98" t="str">
        <f t="shared" si="11"/>
        <v>Posgrado</v>
      </c>
      <c r="L282" s="98" t="s">
        <v>393</v>
      </c>
    </row>
    <row r="283" spans="3:12" ht="15.75" thickBot="1" x14ac:dyDescent="0.3">
      <c r="C283" s="172" t="s">
        <v>59</v>
      </c>
      <c r="D283" s="163"/>
      <c r="E283" s="154">
        <v>0</v>
      </c>
      <c r="F283" s="117">
        <f>IF(E281&lt;6,"",((E281-6)/12)*(G281/E281))</f>
        <v>0</v>
      </c>
      <c r="G283" s="97">
        <f>F283</f>
        <v>0</v>
      </c>
      <c r="H283" s="164"/>
      <c r="I283" s="101" t="s">
        <v>517</v>
      </c>
      <c r="J283" s="101" t="str">
        <f>VLOOKUP(I283,Presupuesto!$B$11:$C$565,2,0)</f>
        <v>DECIMOCUARTO MES</v>
      </c>
      <c r="K283" s="98" t="str">
        <f t="shared" si="11"/>
        <v>Posgrado</v>
      </c>
      <c r="L283" s="98" t="s">
        <v>393</v>
      </c>
    </row>
    <row r="284" spans="3:12" ht="15.75" thickBot="1" x14ac:dyDescent="0.3">
      <c r="C284" s="137" t="s">
        <v>489</v>
      </c>
      <c r="D284" s="199"/>
      <c r="E284" s="152">
        <v>12</v>
      </c>
      <c r="F284" s="303">
        <f>HLOOKUP($C284,$BZ$2:$CM$3,2,0)</f>
        <v>15004.09</v>
      </c>
      <c r="G284" s="113">
        <f>D284*E284*F284</f>
        <v>0</v>
      </c>
      <c r="H284" s="166"/>
      <c r="I284" s="114" t="s">
        <v>494</v>
      </c>
      <c r="J284" s="114" t="str">
        <f>VLOOKUP(I284,Presupuesto!$B$11:$C$565,2,0)</f>
        <v>SUELDOS Y SALARIOS PERMANENTES</v>
      </c>
      <c r="K284" s="98" t="str">
        <f t="shared" si="11"/>
        <v>Posgrado</v>
      </c>
      <c r="L284" s="98" t="s">
        <v>393</v>
      </c>
    </row>
    <row r="285" spans="3:12" x14ac:dyDescent="0.25">
      <c r="C285" s="171" t="s">
        <v>58</v>
      </c>
      <c r="D285" s="163"/>
      <c r="E285" s="154">
        <v>0</v>
      </c>
      <c r="F285" s="100">
        <f>IF(E284=0,"",(G284/E284)/12*E284)</f>
        <v>0</v>
      </c>
      <c r="G285" s="97">
        <f>F285</f>
        <v>0</v>
      </c>
      <c r="H285" s="164"/>
      <c r="I285" s="116" t="s">
        <v>514</v>
      </c>
      <c r="J285" s="116" t="str">
        <f>VLOOKUP(I285,Presupuesto!$B$11:$C$565,2,0)</f>
        <v>AGUINALDO Y DECIMO CUARTO MES</v>
      </c>
      <c r="K285" s="98" t="str">
        <f t="shared" si="11"/>
        <v>Posgrado</v>
      </c>
      <c r="L285" s="98" t="s">
        <v>393</v>
      </c>
    </row>
    <row r="286" spans="3:12" ht="15.75" thickBot="1" x14ac:dyDescent="0.3">
      <c r="C286" s="172" t="s">
        <v>59</v>
      </c>
      <c r="D286" s="163"/>
      <c r="E286" s="154">
        <v>0</v>
      </c>
      <c r="F286" s="117">
        <f>IF(E284&lt;6,"",((E284-6)/12)*(G284/E284))</f>
        <v>0</v>
      </c>
      <c r="G286" s="97">
        <f>F286</f>
        <v>0</v>
      </c>
      <c r="H286" s="164"/>
      <c r="I286" s="101" t="s">
        <v>517</v>
      </c>
      <c r="J286" s="101" t="str">
        <f>VLOOKUP(I286,Presupuesto!$B$11:$C$565,2,0)</f>
        <v>DECIMOCUARTO MES</v>
      </c>
      <c r="K286" s="98" t="str">
        <f t="shared" si="11"/>
        <v>Posgrado</v>
      </c>
      <c r="L286" s="98" t="s">
        <v>393</v>
      </c>
    </row>
    <row r="287" spans="3:12" ht="15.75" thickBot="1" x14ac:dyDescent="0.3">
      <c r="C287" s="137" t="s">
        <v>490</v>
      </c>
      <c r="D287" s="199"/>
      <c r="E287" s="152">
        <v>12</v>
      </c>
      <c r="F287" s="303">
        <f>HLOOKUP($C287,$BZ$2:$CM$3,2,0)</f>
        <v>13238.9</v>
      </c>
      <c r="G287" s="113">
        <f>D287*E287*F287</f>
        <v>0</v>
      </c>
      <c r="H287" s="166"/>
      <c r="I287" s="114" t="s">
        <v>494</v>
      </c>
      <c r="J287" s="114" t="str">
        <f>VLOOKUP(I287,Presupuesto!$B$11:$C$565,2,0)</f>
        <v>SUELDOS Y SALARIOS PERMANENTES</v>
      </c>
      <c r="K287" s="98" t="str">
        <f t="shared" si="11"/>
        <v>Posgrado</v>
      </c>
      <c r="L287" s="98" t="s">
        <v>393</v>
      </c>
    </row>
    <row r="288" spans="3:12" x14ac:dyDescent="0.25">
      <c r="C288" s="171" t="s">
        <v>58</v>
      </c>
      <c r="D288" s="163"/>
      <c r="E288" s="154">
        <v>0</v>
      </c>
      <c r="F288" s="100">
        <f>IF(E287=0,"",(G287/E287)/12*E287)</f>
        <v>0</v>
      </c>
      <c r="G288" s="97">
        <f>F288</f>
        <v>0</v>
      </c>
      <c r="H288" s="164"/>
      <c r="I288" s="116" t="s">
        <v>514</v>
      </c>
      <c r="J288" s="116" t="str">
        <f>VLOOKUP(I288,Presupuesto!$B$11:$C$565,2,0)</f>
        <v>AGUINALDO Y DECIMO CUARTO MES</v>
      </c>
      <c r="K288" s="98" t="str">
        <f t="shared" si="11"/>
        <v>Posgrado</v>
      </c>
      <c r="L288" s="98" t="s">
        <v>393</v>
      </c>
    </row>
    <row r="289" spans="3:12" ht="15.75" thickBot="1" x14ac:dyDescent="0.3">
      <c r="C289" s="172" t="s">
        <v>59</v>
      </c>
      <c r="D289" s="163"/>
      <c r="E289" s="154">
        <v>0</v>
      </c>
      <c r="F289" s="117">
        <f>IF(E287&lt;6,"",((E287-6)/12)*(G287/E287))</f>
        <v>0</v>
      </c>
      <c r="G289" s="97">
        <f>F289</f>
        <v>0</v>
      </c>
      <c r="H289" s="164"/>
      <c r="I289" s="101" t="s">
        <v>517</v>
      </c>
      <c r="J289" s="101" t="str">
        <f>VLOOKUP(I289,Presupuesto!$B$11:$C$565,2,0)</f>
        <v>DECIMOCUARTO MES</v>
      </c>
      <c r="K289" s="98" t="str">
        <f t="shared" si="11"/>
        <v>Posgrado</v>
      </c>
      <c r="L289" s="98" t="s">
        <v>393</v>
      </c>
    </row>
    <row r="290" spans="3:12" ht="15.75" thickBot="1" x14ac:dyDescent="0.3">
      <c r="C290" s="137" t="s">
        <v>491</v>
      </c>
      <c r="D290" s="199"/>
      <c r="E290" s="152">
        <v>12</v>
      </c>
      <c r="F290" s="303">
        <f>HLOOKUP($C290,$BZ$2:$CM$3,2,0)</f>
        <v>12356.31</v>
      </c>
      <c r="G290" s="113">
        <f>D290*E290*F290</f>
        <v>0</v>
      </c>
      <c r="H290" s="166"/>
      <c r="I290" s="114" t="s">
        <v>494</v>
      </c>
      <c r="J290" s="114" t="str">
        <f>VLOOKUP(I290,Presupuesto!$B$11:$C$565,2,0)</f>
        <v>SUELDOS Y SALARIOS PERMANENTES</v>
      </c>
      <c r="K290" s="98" t="str">
        <f t="shared" ref="K290:K307" si="12">$K$257</f>
        <v>Posgrado</v>
      </c>
      <c r="L290" s="98" t="s">
        <v>393</v>
      </c>
    </row>
    <row r="291" spans="3:12" x14ac:dyDescent="0.25">
      <c r="C291" s="171" t="s">
        <v>58</v>
      </c>
      <c r="D291" s="163"/>
      <c r="E291" s="154">
        <v>0</v>
      </c>
      <c r="F291" s="100">
        <f>IF(E290=0,"",(G290/E290)/12*E290)</f>
        <v>0</v>
      </c>
      <c r="G291" s="97">
        <f>F291</f>
        <v>0</v>
      </c>
      <c r="H291" s="164"/>
      <c r="I291" s="116" t="s">
        <v>514</v>
      </c>
      <c r="J291" s="116" t="str">
        <f>VLOOKUP(I291,Presupuesto!$B$11:$C$565,2,0)</f>
        <v>AGUINALDO Y DECIMO CUARTO MES</v>
      </c>
      <c r="K291" s="98" t="str">
        <f t="shared" si="12"/>
        <v>Posgrado</v>
      </c>
      <c r="L291" s="98" t="s">
        <v>393</v>
      </c>
    </row>
    <row r="292" spans="3:12" ht="15.75" thickBot="1" x14ac:dyDescent="0.3">
      <c r="C292" s="172" t="s">
        <v>59</v>
      </c>
      <c r="D292" s="163"/>
      <c r="E292" s="154">
        <v>0</v>
      </c>
      <c r="F292" s="117">
        <f>IF(E290&lt;6,"",((E290-6)/12)*(G290/E290))</f>
        <v>0</v>
      </c>
      <c r="G292" s="97">
        <f>F292</f>
        <v>0</v>
      </c>
      <c r="H292" s="164"/>
      <c r="I292" s="101" t="s">
        <v>517</v>
      </c>
      <c r="J292" s="101" t="str">
        <f>VLOOKUP(I292,Presupuesto!$B$11:$C$565,2,0)</f>
        <v>DECIMOCUARTO MES</v>
      </c>
      <c r="K292" s="98" t="str">
        <f t="shared" si="12"/>
        <v>Posgrado</v>
      </c>
      <c r="L292" s="98" t="s">
        <v>393</v>
      </c>
    </row>
    <row r="293" spans="3:12" ht="15.75" thickBot="1" x14ac:dyDescent="0.3">
      <c r="C293" s="137" t="s">
        <v>492</v>
      </c>
      <c r="D293" s="199"/>
      <c r="E293" s="152">
        <v>12</v>
      </c>
      <c r="F293" s="303">
        <f>HLOOKUP($C293,$BZ$2:$CM$3,2,0)</f>
        <v>463.22</v>
      </c>
      <c r="G293" s="113">
        <f>D293*E293*F293</f>
        <v>0</v>
      </c>
      <c r="H293" s="166"/>
      <c r="I293" s="114" t="s">
        <v>494</v>
      </c>
      <c r="J293" s="114" t="str">
        <f>VLOOKUP(I293,Presupuesto!$B$11:$C$565,2,0)</f>
        <v>SUELDOS Y SALARIOS PERMANENTES</v>
      </c>
      <c r="K293" s="98" t="str">
        <f t="shared" si="12"/>
        <v>Posgrado</v>
      </c>
      <c r="L293" s="98" t="s">
        <v>393</v>
      </c>
    </row>
    <row r="294" spans="3:12" x14ac:dyDescent="0.25">
      <c r="C294" s="171" t="s">
        <v>58</v>
      </c>
      <c r="D294" s="163"/>
      <c r="E294" s="154">
        <v>0</v>
      </c>
      <c r="F294" s="100">
        <f>IF(E293=0,"",(G293/E293)/12*E293)</f>
        <v>0</v>
      </c>
      <c r="G294" s="97">
        <f>F294</f>
        <v>0</v>
      </c>
      <c r="H294" s="164"/>
      <c r="I294" s="116" t="s">
        <v>514</v>
      </c>
      <c r="J294" s="116" t="str">
        <f>VLOOKUP(I294,Presupuesto!$B$11:$C$565,2,0)</f>
        <v>AGUINALDO Y DECIMO CUARTO MES</v>
      </c>
      <c r="K294" s="98" t="str">
        <f t="shared" si="12"/>
        <v>Posgrado</v>
      </c>
      <c r="L294" s="98" t="s">
        <v>393</v>
      </c>
    </row>
    <row r="295" spans="3:12" ht="15.75" thickBot="1" x14ac:dyDescent="0.3">
      <c r="C295" s="172" t="s">
        <v>59</v>
      </c>
      <c r="D295" s="163"/>
      <c r="E295" s="154">
        <v>0</v>
      </c>
      <c r="F295" s="117">
        <f>IF(E293&lt;6,"",((E293-6)/12)*(G293/E293))</f>
        <v>0</v>
      </c>
      <c r="G295" s="97">
        <f>F295</f>
        <v>0</v>
      </c>
      <c r="H295" s="164"/>
      <c r="I295" s="101" t="s">
        <v>517</v>
      </c>
      <c r="J295" s="101" t="str">
        <f>VLOOKUP(I295,Presupuesto!$B$11:$C$565,2,0)</f>
        <v>DECIMOCUARTO MES</v>
      </c>
      <c r="K295" s="98" t="str">
        <f t="shared" si="12"/>
        <v>Posgrado</v>
      </c>
      <c r="L295" s="98" t="s">
        <v>393</v>
      </c>
    </row>
    <row r="296" spans="3:12" ht="15.75" thickBot="1" x14ac:dyDescent="0.3">
      <c r="C296" s="137" t="s">
        <v>493</v>
      </c>
      <c r="D296" s="199"/>
      <c r="E296" s="152">
        <v>12</v>
      </c>
      <c r="F296" s="303">
        <f>HLOOKUP($C296,$BZ$2:$CM$3,2,0)</f>
        <v>2007.3</v>
      </c>
      <c r="G296" s="113">
        <f>D296*E296*F296</f>
        <v>0</v>
      </c>
      <c r="H296" s="166"/>
      <c r="I296" s="114" t="s">
        <v>494</v>
      </c>
      <c r="J296" s="114" t="str">
        <f>VLOOKUP(I296,Presupuesto!$B$11:$C$565,2,0)</f>
        <v>SUELDOS Y SALARIOS PERMANENTES</v>
      </c>
      <c r="K296" s="98" t="str">
        <f t="shared" si="12"/>
        <v>Posgrado</v>
      </c>
      <c r="L296" s="98" t="s">
        <v>393</v>
      </c>
    </row>
    <row r="297" spans="3:12" x14ac:dyDescent="0.25">
      <c r="C297" s="171" t="s">
        <v>58</v>
      </c>
      <c r="D297" s="163"/>
      <c r="E297" s="154">
        <v>0</v>
      </c>
      <c r="F297" s="100">
        <f>IF(E296=0,"",(G296/E296)/12*E296)</f>
        <v>0</v>
      </c>
      <c r="G297" s="97">
        <f>F297</f>
        <v>0</v>
      </c>
      <c r="H297" s="164"/>
      <c r="I297" s="116" t="s">
        <v>514</v>
      </c>
      <c r="J297" s="116" t="str">
        <f>VLOOKUP(I297,Presupuesto!$B$11:$C$565,2,0)</f>
        <v>AGUINALDO Y DECIMO CUARTO MES</v>
      </c>
      <c r="K297" s="98" t="str">
        <f t="shared" si="12"/>
        <v>Posgrado</v>
      </c>
      <c r="L297" s="98" t="s">
        <v>393</v>
      </c>
    </row>
    <row r="298" spans="3:12" ht="15.75" thickBot="1" x14ac:dyDescent="0.3">
      <c r="C298" s="172" t="s">
        <v>59</v>
      </c>
      <c r="D298" s="163"/>
      <c r="E298" s="154">
        <v>0</v>
      </c>
      <c r="F298" s="117">
        <f>IF(E296&lt;6,"",((E296-6)/12)*(G296/E296))</f>
        <v>0</v>
      </c>
      <c r="G298" s="97">
        <f>F298</f>
        <v>0</v>
      </c>
      <c r="H298" s="164"/>
      <c r="I298" s="101" t="s">
        <v>517</v>
      </c>
      <c r="J298" s="101" t="str">
        <f>VLOOKUP(I298,Presupuesto!$B$11:$C$565,2,0)</f>
        <v>DECIMOCUARTO MES</v>
      </c>
      <c r="K298" s="98" t="str">
        <f t="shared" si="12"/>
        <v>Posgrado</v>
      </c>
      <c r="L298" s="98" t="s">
        <v>393</v>
      </c>
    </row>
    <row r="299" spans="3:12" ht="15.75" thickBot="1" x14ac:dyDescent="0.3">
      <c r="C299" s="140" t="s">
        <v>83</v>
      </c>
      <c r="D299" s="199"/>
      <c r="E299" s="152">
        <v>12</v>
      </c>
      <c r="F299" s="139">
        <v>30000</v>
      </c>
      <c r="G299" s="113">
        <f>D299*E299*F299</f>
        <v>0</v>
      </c>
      <c r="H299" s="166"/>
      <c r="I299" s="114" t="s">
        <v>562</v>
      </c>
      <c r="J299" s="114" t="str">
        <f>VLOOKUP(I299,Presupuesto!$B$11:$C$565,2,0)</f>
        <v>CONTRATOS ESPECIALES</v>
      </c>
      <c r="K299" s="98" t="str">
        <f t="shared" si="12"/>
        <v>Posgrado</v>
      </c>
      <c r="L299" s="98" t="s">
        <v>393</v>
      </c>
    </row>
    <row r="300" spans="3:12" x14ac:dyDescent="0.25">
      <c r="C300" s="171" t="s">
        <v>58</v>
      </c>
      <c r="D300" s="163"/>
      <c r="E300" s="154">
        <v>0</v>
      </c>
      <c r="F300" s="117">
        <f>IF(E299=0,"",(G299/E299)/12*E299)</f>
        <v>0</v>
      </c>
      <c r="G300" s="97">
        <f>F300</f>
        <v>0</v>
      </c>
      <c r="H300" s="164"/>
      <c r="I300" s="101" t="s">
        <v>562</v>
      </c>
      <c r="J300" s="101" t="str">
        <f>VLOOKUP(I300,Presupuesto!$B$11:$C$565,2,0)</f>
        <v>CONTRATOS ESPECIALES</v>
      </c>
      <c r="K300" s="98" t="str">
        <f t="shared" si="12"/>
        <v>Posgrado</v>
      </c>
      <c r="L300" s="98" t="s">
        <v>392</v>
      </c>
    </row>
    <row r="301" spans="3:12" ht="15.75" thickBot="1" x14ac:dyDescent="0.3">
      <c r="C301" s="172" t="s">
        <v>59</v>
      </c>
      <c r="D301" s="163"/>
      <c r="E301" s="154">
        <v>0</v>
      </c>
      <c r="F301" s="100">
        <f>IF(E299&lt;6,"",((E299-6)/12)*(G299/E299))</f>
        <v>0</v>
      </c>
      <c r="G301" s="97">
        <f>F301</f>
        <v>0</v>
      </c>
      <c r="H301" s="164"/>
      <c r="I301" s="101" t="s">
        <v>562</v>
      </c>
      <c r="J301" s="101" t="str">
        <f>VLOOKUP(I301,Presupuesto!$B$11:$C$565,2,0)</f>
        <v>CONTRATOS ESPECIALES</v>
      </c>
      <c r="K301" s="98" t="str">
        <f t="shared" si="12"/>
        <v>Posgrado</v>
      </c>
      <c r="L301" s="98" t="s">
        <v>397</v>
      </c>
    </row>
    <row r="302" spans="3:12" ht="15.75" thickBot="1" x14ac:dyDescent="0.3">
      <c r="C302" s="140" t="s">
        <v>60</v>
      </c>
      <c r="D302" s="199"/>
      <c r="E302" s="152">
        <v>12</v>
      </c>
      <c r="F302" s="118">
        <v>30000</v>
      </c>
      <c r="G302" s="113">
        <f>D302*E302*F302</f>
        <v>0</v>
      </c>
      <c r="H302" s="166"/>
      <c r="I302" s="114" t="s">
        <v>703</v>
      </c>
      <c r="J302" s="114" t="str">
        <f>VLOOKUP(I302,Presupuesto!$B$11:$C$565,2,0)</f>
        <v>OTROS SERVICIOS TECNICOS Y PROFESIONALES</v>
      </c>
      <c r="K302" s="98" t="str">
        <f t="shared" si="12"/>
        <v>Posgrado</v>
      </c>
      <c r="L302" s="98" t="s">
        <v>392</v>
      </c>
    </row>
    <row r="303" spans="3:12" x14ac:dyDescent="0.25">
      <c r="C303" s="171" t="s">
        <v>58</v>
      </c>
      <c r="D303" s="163"/>
      <c r="E303" s="154">
        <v>0</v>
      </c>
      <c r="F303" s="100">
        <v>0</v>
      </c>
      <c r="G303" s="97">
        <f>F303</f>
        <v>0</v>
      </c>
      <c r="H303" s="164"/>
      <c r="I303" s="101" t="s">
        <v>703</v>
      </c>
      <c r="J303" s="101" t="str">
        <f>VLOOKUP(I303,Presupuesto!$B$11:$C$565,2,0)</f>
        <v>OTROS SERVICIOS TECNICOS Y PROFESIONALES</v>
      </c>
      <c r="K303" s="98" t="str">
        <f t="shared" si="12"/>
        <v>Posgrado</v>
      </c>
      <c r="L303" s="98" t="s">
        <v>392</v>
      </c>
    </row>
    <row r="304" spans="3:12" ht="15.75" thickBot="1" x14ac:dyDescent="0.3">
      <c r="C304" s="172" t="s">
        <v>59</v>
      </c>
      <c r="D304" s="163"/>
      <c r="E304" s="154">
        <v>0</v>
      </c>
      <c r="F304" s="100">
        <v>0</v>
      </c>
      <c r="G304" s="97">
        <f>F304</f>
        <v>0</v>
      </c>
      <c r="H304" s="164"/>
      <c r="I304" s="101" t="s">
        <v>703</v>
      </c>
      <c r="J304" s="101" t="str">
        <f>VLOOKUP(I304,Presupuesto!$B$11:$C$565,2,0)</f>
        <v>OTROS SERVICIOS TECNICOS Y PROFESIONALES</v>
      </c>
      <c r="K304" s="98" t="str">
        <f t="shared" si="12"/>
        <v>Posgrado</v>
      </c>
      <c r="L304" s="98" t="s">
        <v>392</v>
      </c>
    </row>
    <row r="305" spans="3:12" ht="15.75" thickBot="1" x14ac:dyDescent="0.3">
      <c r="C305" s="140" t="s">
        <v>61</v>
      </c>
      <c r="D305" s="199"/>
      <c r="E305" s="152">
        <v>12</v>
      </c>
      <c r="F305" s="118">
        <v>30000</v>
      </c>
      <c r="G305" s="113">
        <f>D305*E305*F305</f>
        <v>0</v>
      </c>
      <c r="H305" s="166"/>
      <c r="I305" s="114" t="s">
        <v>494</v>
      </c>
      <c r="J305" s="114" t="str">
        <f>VLOOKUP(I305,Presupuesto!$B$11:$C$565,2,0)</f>
        <v>SUELDOS Y SALARIOS PERMANENTES</v>
      </c>
      <c r="K305" s="98" t="str">
        <f t="shared" si="12"/>
        <v>Posgrado</v>
      </c>
      <c r="L305" s="98" t="s">
        <v>392</v>
      </c>
    </row>
    <row r="306" spans="3:12" x14ac:dyDescent="0.25">
      <c r="C306" s="171" t="s">
        <v>58</v>
      </c>
      <c r="D306" s="169"/>
      <c r="E306" s="131">
        <v>0</v>
      </c>
      <c r="F306" s="119">
        <f>IF(E305=0,"",(G305/E305)/12*E305)</f>
        <v>0</v>
      </c>
      <c r="G306" s="120">
        <f>F306</f>
        <v>0</v>
      </c>
      <c r="H306" s="164"/>
      <c r="I306" s="101" t="s">
        <v>514</v>
      </c>
      <c r="J306" s="101" t="str">
        <f>VLOOKUP(I306,Presupuesto!$B$11:$C$565,2,0)</f>
        <v>AGUINALDO Y DECIMO CUARTO MES</v>
      </c>
      <c r="K306" s="98" t="str">
        <f t="shared" si="12"/>
        <v>Posgrado</v>
      </c>
      <c r="L306" s="98" t="s">
        <v>392</v>
      </c>
    </row>
    <row r="307" spans="3:12" ht="15.75" thickBot="1" x14ac:dyDescent="0.3">
      <c r="C307" s="173" t="s">
        <v>59</v>
      </c>
      <c r="D307" s="162"/>
      <c r="E307" s="132">
        <v>0</v>
      </c>
      <c r="F307" s="105">
        <f>IF(E305&lt;6,"",((E305-6)/12)*(G305/E305))</f>
        <v>0</v>
      </c>
      <c r="G307" s="105">
        <f>F307</f>
        <v>0</v>
      </c>
      <c r="H307" s="162"/>
      <c r="I307" s="106" t="s">
        <v>517</v>
      </c>
      <c r="J307" s="124" t="str">
        <f>VLOOKUP(I307,Presupuesto!$B$11:$C$565,2,0)</f>
        <v>DECIMOCUARTO MES</v>
      </c>
      <c r="K307" s="106" t="str">
        <f t="shared" si="12"/>
        <v>Posgrado</v>
      </c>
      <c r="L307" s="124" t="s">
        <v>392</v>
      </c>
    </row>
    <row r="309" spans="3:12" ht="15.75" thickBot="1" x14ac:dyDescent="0.3">
      <c r="K309" s="153"/>
    </row>
    <row r="310" spans="3:12" ht="15.75" thickBot="1" x14ac:dyDescent="0.3">
      <c r="C310" s="69" t="s">
        <v>43</v>
      </c>
      <c r="D310" s="30">
        <f>SUM(G317:G367)</f>
        <v>0</v>
      </c>
      <c r="E310" s="93"/>
      <c r="F310" s="93"/>
      <c r="G310" s="93"/>
      <c r="H310" s="76"/>
      <c r="I310" s="76"/>
      <c r="J310" s="76"/>
      <c r="K310" s="153"/>
    </row>
    <row r="311" spans="3:12" x14ac:dyDescent="0.25">
      <c r="D311" s="31"/>
      <c r="E311" s="93"/>
      <c r="F311" s="93"/>
      <c r="G311" s="93"/>
      <c r="H311" s="76"/>
      <c r="I311" s="76"/>
      <c r="J311" s="76"/>
      <c r="K311" s="153"/>
    </row>
    <row r="312" spans="3:12" x14ac:dyDescent="0.25">
      <c r="D312" s="31"/>
      <c r="E312" s="93"/>
      <c r="F312" s="93"/>
      <c r="G312" s="93"/>
      <c r="H312" s="76"/>
      <c r="I312" s="76"/>
      <c r="J312" s="76"/>
      <c r="K312" s="153"/>
    </row>
    <row r="313" spans="3:12" ht="15.75" x14ac:dyDescent="0.25">
      <c r="C313" s="202" t="s">
        <v>390</v>
      </c>
      <c r="D313" s="368"/>
      <c r="E313" s="93"/>
      <c r="F313" s="93"/>
      <c r="G313" s="93"/>
      <c r="H313" s="76"/>
      <c r="I313" s="76"/>
      <c r="J313" s="76"/>
      <c r="K313" s="153"/>
    </row>
    <row r="314" spans="3:12" ht="18.75" x14ac:dyDescent="0.25">
      <c r="C314" s="210" t="e">
        <f>IFERROR(VLOOKUP(D313,'1. Desarrollo e Innov. Curricu.'!$F:$G,2,FALSE),IFERROR(VLOOKUP(D313,'2. Investigación Científica'!$F:$G,2,FALSE),IFERROR(VLOOKUP(D313,'3. Vinculación Univ. Sociedad'!$F:$G,2,FALSE),IFERROR(VLOOKUP(D313,'4. Docencia y Profesorado Univ.'!$F:$G,2,FALSE),IFERROR(VLOOKUP(D313,'5. Estudiantes y Graduados'!$F:$G,2,FALSE),IFERROR(VLOOKUP(D313,'11. Gestion Administrativa'!$F:$G,2,FALSE),IFERROR(VLOOKUP(D313,'13. Gestión Académica'!$F:$G,2,FALSE),IFERROR(VLOOKUP(D313,'9. Asegura. de la Calid. y M'!$F:$G,2,FALSE),IFERROR(VLOOKUP(D313,'6. Gestión del Conocimiento'!$F:$G,2,FALSE),IFERROR(VLOOKUP(D313,'15. Gobernabilidad y Proceso...'!$G:$H,2,FALSE),IFERROR(VLOOKUP(D313,'12. Gestión del Talento Humano'!$F:$G,2,FALSE),IFERROR(VLOOKUP(D313,'14. Internacional... de la E.S.'!$F:$G,2,FALSE),IFERROR(VLOOKUP(D313,'10. Posgrado'!$F:$G,2,FALSE),IFERROR(VLOOKUP(D313,'17. Gestión TIC'!$F:$G,2,FALSE),IFERROR(VLOOKUP(D313,'16. Desa. del Sistema Educ.Sup.'!$F:$G,2,FALSE),IFERROR(VLOOKUP(D313,'8. Cultura de Inno. Insti...'!$F:$G,2,FALSE),VLOOKUP(D313,'7. Lo Esencial de la Reforma U.'!$G:$H,2,0)))))))))))))))))</f>
        <v>#N/A</v>
      </c>
      <c r="D314" s="31"/>
      <c r="E314" s="93"/>
      <c r="F314" s="93"/>
      <c r="G314" s="93"/>
      <c r="H314" s="76"/>
      <c r="I314" s="76"/>
      <c r="J314" s="76"/>
      <c r="K314" s="153"/>
    </row>
    <row r="315" spans="3:12" ht="15.75" thickBot="1" x14ac:dyDescent="0.3">
      <c r="C315" s="177"/>
      <c r="D315" s="31"/>
      <c r="E315" s="93"/>
      <c r="F315" s="93"/>
      <c r="G315" s="93"/>
      <c r="H315" s="76"/>
      <c r="I315" s="76"/>
      <c r="J315" s="76"/>
      <c r="K315" s="153"/>
    </row>
    <row r="316" spans="3:12" ht="30.75" thickBot="1" x14ac:dyDescent="0.3">
      <c r="C316" s="134" t="s">
        <v>44</v>
      </c>
      <c r="D316" s="138" t="s">
        <v>55</v>
      </c>
      <c r="E316" s="170" t="s">
        <v>56</v>
      </c>
      <c r="F316" s="138" t="s">
        <v>57</v>
      </c>
      <c r="G316" s="135" t="s">
        <v>27</v>
      </c>
      <c r="H316" s="133" t="s">
        <v>129</v>
      </c>
      <c r="I316" s="136" t="s">
        <v>46</v>
      </c>
      <c r="J316" s="136" t="s">
        <v>130</v>
      </c>
      <c r="K316" s="136" t="s">
        <v>408</v>
      </c>
      <c r="L316" s="136" t="s">
        <v>409</v>
      </c>
    </row>
    <row r="317" spans="3:12" ht="15.75" thickBot="1" x14ac:dyDescent="0.3">
      <c r="C317" s="137" t="s">
        <v>480</v>
      </c>
      <c r="D317" s="199"/>
      <c r="E317" s="152">
        <v>12</v>
      </c>
      <c r="F317" s="303">
        <f>HLOOKUP($C317,$BZ$2:$CM$3,2,0)</f>
        <v>43674.39</v>
      </c>
      <c r="G317" s="113">
        <f>D317*E317*F317</f>
        <v>0</v>
      </c>
      <c r="H317" s="166"/>
      <c r="I317" s="114" t="s">
        <v>494</v>
      </c>
      <c r="J317" s="114" t="str">
        <f>VLOOKUP(I317,Presupuesto!$B$11:$C$565,2,0)</f>
        <v>SUELDOS Y SALARIOS PERMANENTES</v>
      </c>
      <c r="K317" s="218" t="s">
        <v>1443</v>
      </c>
      <c r="L317" s="98" t="s">
        <v>392</v>
      </c>
    </row>
    <row r="318" spans="3:12" x14ac:dyDescent="0.25">
      <c r="C318" s="171" t="s">
        <v>58</v>
      </c>
      <c r="D318" s="163"/>
      <c r="E318" s="154">
        <v>0</v>
      </c>
      <c r="F318" s="100">
        <f>IF(E317=0,"",(G317/E317)/12*E317)</f>
        <v>0</v>
      </c>
      <c r="G318" s="97">
        <f>F318</f>
        <v>0</v>
      </c>
      <c r="H318" s="164"/>
      <c r="I318" s="116" t="s">
        <v>514</v>
      </c>
      <c r="J318" s="116" t="str">
        <f>VLOOKUP(I318,Presupuesto!$B$11:$C$565,2,0)</f>
        <v>AGUINALDO Y DECIMO CUARTO MES</v>
      </c>
      <c r="K318" s="98" t="str">
        <f t="shared" ref="K318:K349" si="13">$K$317</f>
        <v>Posgrado</v>
      </c>
      <c r="L318" s="98" t="s">
        <v>410</v>
      </c>
    </row>
    <row r="319" spans="3:12" ht="15.75" thickBot="1" x14ac:dyDescent="0.3">
      <c r="C319" s="172" t="s">
        <v>59</v>
      </c>
      <c r="D319" s="163"/>
      <c r="E319" s="154">
        <v>0</v>
      </c>
      <c r="F319" s="117">
        <f>IF(E317&lt;6,"",((E317-6)/12)*(G317/E317))</f>
        <v>0</v>
      </c>
      <c r="G319" s="97">
        <f>F319</f>
        <v>0</v>
      </c>
      <c r="H319" s="164"/>
      <c r="I319" s="101" t="s">
        <v>517</v>
      </c>
      <c r="J319" s="101" t="str">
        <f>VLOOKUP(I319,Presupuesto!$B$11:$C$565,2,0)</f>
        <v>DECIMOCUARTO MES</v>
      </c>
      <c r="K319" s="98" t="str">
        <f t="shared" si="13"/>
        <v>Posgrado</v>
      </c>
      <c r="L319" s="98" t="s">
        <v>393</v>
      </c>
    </row>
    <row r="320" spans="3:12" ht="15.75" thickBot="1" x14ac:dyDescent="0.3">
      <c r="C320" s="137" t="s">
        <v>481</v>
      </c>
      <c r="D320" s="199"/>
      <c r="E320" s="152">
        <v>12</v>
      </c>
      <c r="F320" s="303">
        <f>HLOOKUP($C320,$BZ$2:$CM$3,2,0)</f>
        <v>39703.99</v>
      </c>
      <c r="G320" s="113">
        <f>D320*E320*F320</f>
        <v>0</v>
      </c>
      <c r="H320" s="166"/>
      <c r="I320" s="114" t="s">
        <v>494</v>
      </c>
      <c r="J320" s="114" t="str">
        <f>VLOOKUP(I320,Presupuesto!$B$11:$C$565,2,0)</f>
        <v>SUELDOS Y SALARIOS PERMANENTES</v>
      </c>
      <c r="K320" s="98" t="str">
        <f t="shared" si="13"/>
        <v>Posgrado</v>
      </c>
      <c r="L320" s="98" t="s">
        <v>393</v>
      </c>
    </row>
    <row r="321" spans="3:12" x14ac:dyDescent="0.25">
      <c r="C321" s="171" t="s">
        <v>58</v>
      </c>
      <c r="D321" s="163"/>
      <c r="E321" s="154">
        <v>0</v>
      </c>
      <c r="F321" s="100">
        <f>IF(E320=0,"",(G320/E320)/12*E320)</f>
        <v>0</v>
      </c>
      <c r="G321" s="97">
        <f>F321</f>
        <v>0</v>
      </c>
      <c r="H321" s="164"/>
      <c r="I321" s="116" t="s">
        <v>514</v>
      </c>
      <c r="J321" s="116" t="str">
        <f>VLOOKUP(I321,Presupuesto!$B$11:$C$565,2,0)</f>
        <v>AGUINALDO Y DECIMO CUARTO MES</v>
      </c>
      <c r="K321" s="98" t="str">
        <f t="shared" si="13"/>
        <v>Posgrado</v>
      </c>
      <c r="L321" s="98" t="s">
        <v>393</v>
      </c>
    </row>
    <row r="322" spans="3:12" ht="15.75" thickBot="1" x14ac:dyDescent="0.3">
      <c r="C322" s="172" t="s">
        <v>59</v>
      </c>
      <c r="D322" s="163"/>
      <c r="E322" s="154">
        <v>0</v>
      </c>
      <c r="F322" s="117">
        <f>IF(E320&lt;6,"",((E320-6)/12)*(G320/E320))</f>
        <v>0</v>
      </c>
      <c r="G322" s="97">
        <f>F322</f>
        <v>0</v>
      </c>
      <c r="H322" s="164"/>
      <c r="I322" s="101" t="s">
        <v>517</v>
      </c>
      <c r="J322" s="101" t="str">
        <f>VLOOKUP(I322,Presupuesto!$B$11:$C$565,2,0)</f>
        <v>DECIMOCUARTO MES</v>
      </c>
      <c r="K322" s="98" t="str">
        <f t="shared" si="13"/>
        <v>Posgrado</v>
      </c>
      <c r="L322" s="98" t="s">
        <v>393</v>
      </c>
    </row>
    <row r="323" spans="3:12" ht="15.75" thickBot="1" x14ac:dyDescent="0.3">
      <c r="C323" s="137" t="s">
        <v>482</v>
      </c>
      <c r="D323" s="199"/>
      <c r="E323" s="152">
        <v>12</v>
      </c>
      <c r="F323" s="303">
        <f>HLOOKUP($C323,$BZ$2:$CM$3,2,0)</f>
        <v>35733.589999999997</v>
      </c>
      <c r="G323" s="113">
        <f>D323*E323*F323</f>
        <v>0</v>
      </c>
      <c r="H323" s="166"/>
      <c r="I323" s="114" t="s">
        <v>494</v>
      </c>
      <c r="J323" s="114" t="str">
        <f>VLOOKUP(I323,Presupuesto!$B$11:$C$565,2,0)</f>
        <v>SUELDOS Y SALARIOS PERMANENTES</v>
      </c>
      <c r="K323" s="98" t="str">
        <f t="shared" si="13"/>
        <v>Posgrado</v>
      </c>
      <c r="L323" s="98" t="s">
        <v>393</v>
      </c>
    </row>
    <row r="324" spans="3:12" x14ac:dyDescent="0.25">
      <c r="C324" s="171" t="s">
        <v>58</v>
      </c>
      <c r="D324" s="163"/>
      <c r="E324" s="154">
        <v>0</v>
      </c>
      <c r="F324" s="100">
        <f>IF(E323=0,"",(G323/E323)/12*E323)</f>
        <v>0</v>
      </c>
      <c r="G324" s="97">
        <f>F324</f>
        <v>0</v>
      </c>
      <c r="H324" s="164"/>
      <c r="I324" s="116" t="s">
        <v>514</v>
      </c>
      <c r="J324" s="116" t="str">
        <f>VLOOKUP(I324,Presupuesto!$B$11:$C$565,2,0)</f>
        <v>AGUINALDO Y DECIMO CUARTO MES</v>
      </c>
      <c r="K324" s="98" t="str">
        <f t="shared" si="13"/>
        <v>Posgrado</v>
      </c>
      <c r="L324" s="98" t="s">
        <v>393</v>
      </c>
    </row>
    <row r="325" spans="3:12" ht="15.75" thickBot="1" x14ac:dyDescent="0.3">
      <c r="C325" s="172" t="s">
        <v>59</v>
      </c>
      <c r="D325" s="163"/>
      <c r="E325" s="154">
        <v>0</v>
      </c>
      <c r="F325" s="117">
        <f>IF(E323&lt;6,"",((E323-6)/12)*(G323/E323))</f>
        <v>0</v>
      </c>
      <c r="G325" s="97">
        <f>F325</f>
        <v>0</v>
      </c>
      <c r="H325" s="164"/>
      <c r="I325" s="101" t="s">
        <v>517</v>
      </c>
      <c r="J325" s="101" t="str">
        <f>VLOOKUP(I325,Presupuesto!$B$11:$C$565,2,0)</f>
        <v>DECIMOCUARTO MES</v>
      </c>
      <c r="K325" s="98" t="str">
        <f t="shared" si="13"/>
        <v>Posgrado</v>
      </c>
      <c r="L325" s="98" t="s">
        <v>393</v>
      </c>
    </row>
    <row r="326" spans="3:12" ht="15.75" thickBot="1" x14ac:dyDescent="0.3">
      <c r="C326" s="137" t="s">
        <v>483</v>
      </c>
      <c r="D326" s="199"/>
      <c r="E326" s="152">
        <v>12</v>
      </c>
      <c r="F326" s="303">
        <f>HLOOKUP($C326,$BZ$2:$CM$3,2,0)</f>
        <v>31763.19</v>
      </c>
      <c r="G326" s="113">
        <f>D326*E326*F326</f>
        <v>0</v>
      </c>
      <c r="H326" s="166"/>
      <c r="I326" s="114" t="s">
        <v>494</v>
      </c>
      <c r="J326" s="114" t="str">
        <f>VLOOKUP(I326,Presupuesto!$B$11:$C$565,2,0)</f>
        <v>SUELDOS Y SALARIOS PERMANENTES</v>
      </c>
      <c r="K326" s="98" t="str">
        <f t="shared" si="13"/>
        <v>Posgrado</v>
      </c>
      <c r="L326" s="98" t="s">
        <v>393</v>
      </c>
    </row>
    <row r="327" spans="3:12" x14ac:dyDescent="0.25">
      <c r="C327" s="171" t="s">
        <v>58</v>
      </c>
      <c r="D327" s="163"/>
      <c r="E327" s="154">
        <v>0</v>
      </c>
      <c r="F327" s="100">
        <f>IF(E326=0,"",(G326/E326)/12*E326)</f>
        <v>0</v>
      </c>
      <c r="G327" s="97">
        <f>F327</f>
        <v>0</v>
      </c>
      <c r="H327" s="164"/>
      <c r="I327" s="116" t="s">
        <v>514</v>
      </c>
      <c r="J327" s="116" t="str">
        <f>VLOOKUP(I327,Presupuesto!$B$11:$C$565,2,0)</f>
        <v>AGUINALDO Y DECIMO CUARTO MES</v>
      </c>
      <c r="K327" s="98" t="str">
        <f t="shared" si="13"/>
        <v>Posgrado</v>
      </c>
      <c r="L327" s="98" t="s">
        <v>393</v>
      </c>
    </row>
    <row r="328" spans="3:12" ht="15.75" thickBot="1" x14ac:dyDescent="0.3">
      <c r="C328" s="172" t="s">
        <v>59</v>
      </c>
      <c r="D328" s="163"/>
      <c r="E328" s="154">
        <v>0</v>
      </c>
      <c r="F328" s="117">
        <f>IF(E326&lt;6,"",((E326-6)/12)*(G326/E326))</f>
        <v>0</v>
      </c>
      <c r="G328" s="97">
        <f>F328</f>
        <v>0</v>
      </c>
      <c r="H328" s="164"/>
      <c r="I328" s="101" t="s">
        <v>517</v>
      </c>
      <c r="J328" s="101" t="str">
        <f>VLOOKUP(I328,Presupuesto!$B$11:$C$565,2,0)</f>
        <v>DECIMOCUARTO MES</v>
      </c>
      <c r="K328" s="98" t="str">
        <f t="shared" si="13"/>
        <v>Posgrado</v>
      </c>
      <c r="L328" s="98" t="s">
        <v>393</v>
      </c>
    </row>
    <row r="329" spans="3:12" ht="15.75" thickBot="1" x14ac:dyDescent="0.3">
      <c r="C329" s="137" t="s">
        <v>484</v>
      </c>
      <c r="D329" s="199"/>
      <c r="E329" s="152">
        <v>12</v>
      </c>
      <c r="F329" s="303">
        <f>HLOOKUP($C329,$BZ$2:$CM$3,2,0)</f>
        <v>29777.99</v>
      </c>
      <c r="G329" s="113">
        <f>D329*E329*F329</f>
        <v>0</v>
      </c>
      <c r="H329" s="166"/>
      <c r="I329" s="114" t="s">
        <v>494</v>
      </c>
      <c r="J329" s="114" t="str">
        <f>VLOOKUP(I329,Presupuesto!$B$11:$C$565,2,0)</f>
        <v>SUELDOS Y SALARIOS PERMANENTES</v>
      </c>
      <c r="K329" s="98" t="str">
        <f t="shared" si="13"/>
        <v>Posgrado</v>
      </c>
      <c r="L329" s="98" t="s">
        <v>393</v>
      </c>
    </row>
    <row r="330" spans="3:12" x14ac:dyDescent="0.25">
      <c r="C330" s="171" t="s">
        <v>58</v>
      </c>
      <c r="D330" s="163"/>
      <c r="E330" s="154">
        <v>0</v>
      </c>
      <c r="F330" s="100">
        <f>IF(E329=0,"",(G329/E329)/12*E329)</f>
        <v>0</v>
      </c>
      <c r="G330" s="97">
        <f>F330</f>
        <v>0</v>
      </c>
      <c r="H330" s="164"/>
      <c r="I330" s="116" t="s">
        <v>514</v>
      </c>
      <c r="J330" s="116" t="str">
        <f>VLOOKUP(I330,Presupuesto!$B$11:$C$565,2,0)</f>
        <v>AGUINALDO Y DECIMO CUARTO MES</v>
      </c>
      <c r="K330" s="98" t="str">
        <f t="shared" si="13"/>
        <v>Posgrado</v>
      </c>
      <c r="L330" s="98" t="s">
        <v>393</v>
      </c>
    </row>
    <row r="331" spans="3:12" ht="15.75" thickBot="1" x14ac:dyDescent="0.3">
      <c r="C331" s="172" t="s">
        <v>59</v>
      </c>
      <c r="D331" s="163"/>
      <c r="E331" s="154">
        <v>0</v>
      </c>
      <c r="F331" s="117">
        <f>IF(E329&lt;6,"",((E329-6)/12)*(G329/E329))</f>
        <v>0</v>
      </c>
      <c r="G331" s="97">
        <f>F331</f>
        <v>0</v>
      </c>
      <c r="H331" s="164"/>
      <c r="I331" s="101" t="s">
        <v>517</v>
      </c>
      <c r="J331" s="101" t="str">
        <f>VLOOKUP(I331,Presupuesto!$B$11:$C$565,2,0)</f>
        <v>DECIMOCUARTO MES</v>
      </c>
      <c r="K331" s="98" t="str">
        <f t="shared" si="13"/>
        <v>Posgrado</v>
      </c>
      <c r="L331" s="98" t="s">
        <v>393</v>
      </c>
    </row>
    <row r="332" spans="3:12" ht="15.75" thickBot="1" x14ac:dyDescent="0.3">
      <c r="C332" s="137" t="s">
        <v>485</v>
      </c>
      <c r="D332" s="199"/>
      <c r="E332" s="152">
        <v>12</v>
      </c>
      <c r="F332" s="303">
        <f>HLOOKUP($C332,$BZ$2:$CM$3,2,0)</f>
        <v>27792.79</v>
      </c>
      <c r="G332" s="113">
        <f>D332*E332*F332</f>
        <v>0</v>
      </c>
      <c r="H332" s="166"/>
      <c r="I332" s="114" t="s">
        <v>494</v>
      </c>
      <c r="J332" s="114" t="str">
        <f>VLOOKUP(I332,Presupuesto!$B$11:$C$565,2,0)</f>
        <v>SUELDOS Y SALARIOS PERMANENTES</v>
      </c>
      <c r="K332" s="98" t="str">
        <f t="shared" si="13"/>
        <v>Posgrado</v>
      </c>
      <c r="L332" s="98" t="s">
        <v>393</v>
      </c>
    </row>
    <row r="333" spans="3:12" x14ac:dyDescent="0.25">
      <c r="C333" s="171" t="s">
        <v>58</v>
      </c>
      <c r="D333" s="163"/>
      <c r="E333" s="154">
        <v>0</v>
      </c>
      <c r="F333" s="100">
        <f>IF(E332=0,"",(G332/E332)/12*E332)</f>
        <v>0</v>
      </c>
      <c r="G333" s="97">
        <f>F333</f>
        <v>0</v>
      </c>
      <c r="H333" s="164"/>
      <c r="I333" s="116" t="s">
        <v>514</v>
      </c>
      <c r="J333" s="116" t="str">
        <f>VLOOKUP(I333,Presupuesto!$B$11:$C$565,2,0)</f>
        <v>AGUINALDO Y DECIMO CUARTO MES</v>
      </c>
      <c r="K333" s="98" t="str">
        <f t="shared" si="13"/>
        <v>Posgrado</v>
      </c>
      <c r="L333" s="98" t="s">
        <v>393</v>
      </c>
    </row>
    <row r="334" spans="3:12" ht="15.75" thickBot="1" x14ac:dyDescent="0.3">
      <c r="C334" s="172" t="s">
        <v>59</v>
      </c>
      <c r="D334" s="163"/>
      <c r="E334" s="154">
        <v>0</v>
      </c>
      <c r="F334" s="117">
        <f>IF(E332&lt;6,"",((E332-6)/12)*(G332/E332))</f>
        <v>0</v>
      </c>
      <c r="G334" s="97">
        <f>F334</f>
        <v>0</v>
      </c>
      <c r="H334" s="164"/>
      <c r="I334" s="101" t="s">
        <v>517</v>
      </c>
      <c r="J334" s="101" t="str">
        <f>VLOOKUP(I334,Presupuesto!$B$11:$C$565,2,0)</f>
        <v>DECIMOCUARTO MES</v>
      </c>
      <c r="K334" s="98" t="str">
        <f t="shared" si="13"/>
        <v>Posgrado</v>
      </c>
      <c r="L334" s="98" t="s">
        <v>393</v>
      </c>
    </row>
    <row r="335" spans="3:12" ht="15.75" thickBot="1" x14ac:dyDescent="0.3">
      <c r="C335" s="137" t="s">
        <v>486</v>
      </c>
      <c r="D335" s="199"/>
      <c r="E335" s="152">
        <v>12</v>
      </c>
      <c r="F335" s="303">
        <f>HLOOKUP($C335,$BZ$2:$CM$3,2,0)</f>
        <v>18859.39</v>
      </c>
      <c r="G335" s="113">
        <f>D335*E335*F335</f>
        <v>0</v>
      </c>
      <c r="H335" s="166"/>
      <c r="I335" s="114" t="s">
        <v>494</v>
      </c>
      <c r="J335" s="114" t="str">
        <f>VLOOKUP(I335,Presupuesto!$B$11:$C$565,2,0)</f>
        <v>SUELDOS Y SALARIOS PERMANENTES</v>
      </c>
      <c r="K335" s="98" t="str">
        <f t="shared" si="13"/>
        <v>Posgrado</v>
      </c>
      <c r="L335" s="98" t="s">
        <v>393</v>
      </c>
    </row>
    <row r="336" spans="3:12" x14ac:dyDescent="0.25">
      <c r="C336" s="171" t="s">
        <v>58</v>
      </c>
      <c r="D336" s="163"/>
      <c r="E336" s="154">
        <v>0</v>
      </c>
      <c r="F336" s="100">
        <f>IF(E335=0,"",(G335/E335)/12*E335)</f>
        <v>0</v>
      </c>
      <c r="G336" s="97">
        <f>F336</f>
        <v>0</v>
      </c>
      <c r="H336" s="164"/>
      <c r="I336" s="116" t="s">
        <v>514</v>
      </c>
      <c r="J336" s="116" t="str">
        <f>VLOOKUP(I336,Presupuesto!$B$11:$C$565,2,0)</f>
        <v>AGUINALDO Y DECIMO CUARTO MES</v>
      </c>
      <c r="K336" s="98" t="str">
        <f t="shared" si="13"/>
        <v>Posgrado</v>
      </c>
      <c r="L336" s="98" t="s">
        <v>393</v>
      </c>
    </row>
    <row r="337" spans="3:12" ht="15.75" thickBot="1" x14ac:dyDescent="0.3">
      <c r="C337" s="172" t="s">
        <v>59</v>
      </c>
      <c r="D337" s="163"/>
      <c r="E337" s="154">
        <v>0</v>
      </c>
      <c r="F337" s="117">
        <f>IF(E335&lt;6,"",((E335-6)/12)*(G335/E335))</f>
        <v>0</v>
      </c>
      <c r="G337" s="97">
        <f>F337</f>
        <v>0</v>
      </c>
      <c r="H337" s="164"/>
      <c r="I337" s="101" t="s">
        <v>517</v>
      </c>
      <c r="J337" s="101" t="str">
        <f>VLOOKUP(I337,Presupuesto!$B$11:$C$565,2,0)</f>
        <v>DECIMOCUARTO MES</v>
      </c>
      <c r="K337" s="98" t="str">
        <f t="shared" si="13"/>
        <v>Posgrado</v>
      </c>
      <c r="L337" s="98" t="s">
        <v>393</v>
      </c>
    </row>
    <row r="338" spans="3:12" ht="15.75" thickBot="1" x14ac:dyDescent="0.3">
      <c r="C338" s="137" t="s">
        <v>487</v>
      </c>
      <c r="D338" s="199"/>
      <c r="E338" s="152">
        <v>12</v>
      </c>
      <c r="F338" s="303">
        <f>HLOOKUP($C338,$BZ$2:$CM$3,2,0)</f>
        <v>17866.8</v>
      </c>
      <c r="G338" s="113">
        <f>D338*E338*F338</f>
        <v>0</v>
      </c>
      <c r="H338" s="166"/>
      <c r="I338" s="114" t="s">
        <v>494</v>
      </c>
      <c r="J338" s="114" t="str">
        <f>VLOOKUP(I338,Presupuesto!$B$11:$C$565,2,0)</f>
        <v>SUELDOS Y SALARIOS PERMANENTES</v>
      </c>
      <c r="K338" s="98" t="str">
        <f t="shared" si="13"/>
        <v>Posgrado</v>
      </c>
      <c r="L338" s="98" t="s">
        <v>393</v>
      </c>
    </row>
    <row r="339" spans="3:12" x14ac:dyDescent="0.25">
      <c r="C339" s="171" t="s">
        <v>58</v>
      </c>
      <c r="D339" s="163"/>
      <c r="E339" s="154">
        <v>0</v>
      </c>
      <c r="F339" s="100">
        <f>IF(E338=0,"",(G338/E338)/12*E338)</f>
        <v>0</v>
      </c>
      <c r="G339" s="97">
        <f>F339</f>
        <v>0</v>
      </c>
      <c r="H339" s="164"/>
      <c r="I339" s="116" t="s">
        <v>514</v>
      </c>
      <c r="J339" s="116" t="str">
        <f>VLOOKUP(I339,Presupuesto!$B$11:$C$565,2,0)</f>
        <v>AGUINALDO Y DECIMO CUARTO MES</v>
      </c>
      <c r="K339" s="98" t="str">
        <f t="shared" si="13"/>
        <v>Posgrado</v>
      </c>
      <c r="L339" s="98" t="s">
        <v>393</v>
      </c>
    </row>
    <row r="340" spans="3:12" ht="15.75" thickBot="1" x14ac:dyDescent="0.3">
      <c r="C340" s="172" t="s">
        <v>59</v>
      </c>
      <c r="D340" s="163"/>
      <c r="E340" s="154">
        <v>0</v>
      </c>
      <c r="F340" s="117">
        <f>IF(E338&lt;6,"",((E338-6)/12)*(G338/E338))</f>
        <v>0</v>
      </c>
      <c r="G340" s="97">
        <f>F340</f>
        <v>0</v>
      </c>
      <c r="H340" s="164"/>
      <c r="I340" s="101" t="s">
        <v>517</v>
      </c>
      <c r="J340" s="101" t="str">
        <f>VLOOKUP(I340,Presupuesto!$B$11:$C$565,2,0)</f>
        <v>DECIMOCUARTO MES</v>
      </c>
      <c r="K340" s="98" t="str">
        <f t="shared" si="13"/>
        <v>Posgrado</v>
      </c>
      <c r="L340" s="98" t="s">
        <v>393</v>
      </c>
    </row>
    <row r="341" spans="3:12" ht="15.75" thickBot="1" x14ac:dyDescent="0.3">
      <c r="C341" s="137" t="s">
        <v>488</v>
      </c>
      <c r="D341" s="199"/>
      <c r="E341" s="152">
        <v>12</v>
      </c>
      <c r="F341" s="303">
        <f>HLOOKUP($C341,$BZ$2:$CM$3,2,0)</f>
        <v>13896.4</v>
      </c>
      <c r="G341" s="113">
        <f>D341*E341*F341</f>
        <v>0</v>
      </c>
      <c r="H341" s="166"/>
      <c r="I341" s="114" t="s">
        <v>494</v>
      </c>
      <c r="J341" s="114" t="str">
        <f>VLOOKUP(I341,Presupuesto!$B$11:$C$565,2,0)</f>
        <v>SUELDOS Y SALARIOS PERMANENTES</v>
      </c>
      <c r="K341" s="98" t="str">
        <f t="shared" si="13"/>
        <v>Posgrado</v>
      </c>
      <c r="L341" s="98" t="s">
        <v>393</v>
      </c>
    </row>
    <row r="342" spans="3:12" x14ac:dyDescent="0.25">
      <c r="C342" s="171" t="s">
        <v>58</v>
      </c>
      <c r="D342" s="163"/>
      <c r="E342" s="154">
        <v>0</v>
      </c>
      <c r="F342" s="100">
        <f>IF(E341=0,"",(G341/E341)/12*E341)</f>
        <v>0</v>
      </c>
      <c r="G342" s="97">
        <f>F342</f>
        <v>0</v>
      </c>
      <c r="H342" s="164"/>
      <c r="I342" s="116" t="s">
        <v>514</v>
      </c>
      <c r="J342" s="116" t="str">
        <f>VLOOKUP(I342,Presupuesto!$B$11:$C$565,2,0)</f>
        <v>AGUINALDO Y DECIMO CUARTO MES</v>
      </c>
      <c r="K342" s="98" t="str">
        <f t="shared" si="13"/>
        <v>Posgrado</v>
      </c>
      <c r="L342" s="98" t="s">
        <v>393</v>
      </c>
    </row>
    <row r="343" spans="3:12" ht="15.75" thickBot="1" x14ac:dyDescent="0.3">
      <c r="C343" s="172" t="s">
        <v>59</v>
      </c>
      <c r="D343" s="163"/>
      <c r="E343" s="154">
        <v>0</v>
      </c>
      <c r="F343" s="117">
        <f>IF(E341&lt;6,"",((E341-6)/12)*(G341/E341))</f>
        <v>0</v>
      </c>
      <c r="G343" s="97">
        <f>F343</f>
        <v>0</v>
      </c>
      <c r="H343" s="164"/>
      <c r="I343" s="101" t="s">
        <v>517</v>
      </c>
      <c r="J343" s="101" t="str">
        <f>VLOOKUP(I343,Presupuesto!$B$11:$C$565,2,0)</f>
        <v>DECIMOCUARTO MES</v>
      </c>
      <c r="K343" s="98" t="str">
        <f t="shared" si="13"/>
        <v>Posgrado</v>
      </c>
      <c r="L343" s="98" t="s">
        <v>393</v>
      </c>
    </row>
    <row r="344" spans="3:12" ht="15.75" thickBot="1" x14ac:dyDescent="0.3">
      <c r="C344" s="137" t="s">
        <v>489</v>
      </c>
      <c r="D344" s="199"/>
      <c r="E344" s="152">
        <v>12</v>
      </c>
      <c r="F344" s="303">
        <f>HLOOKUP($C344,$BZ$2:$CM$3,2,0)</f>
        <v>15004.09</v>
      </c>
      <c r="G344" s="113">
        <f>D344*E344*F344</f>
        <v>0</v>
      </c>
      <c r="H344" s="166"/>
      <c r="I344" s="114" t="s">
        <v>494</v>
      </c>
      <c r="J344" s="114" t="str">
        <f>VLOOKUP(I344,Presupuesto!$B$11:$C$565,2,0)</f>
        <v>SUELDOS Y SALARIOS PERMANENTES</v>
      </c>
      <c r="K344" s="98" t="str">
        <f t="shared" si="13"/>
        <v>Posgrado</v>
      </c>
      <c r="L344" s="98" t="s">
        <v>393</v>
      </c>
    </row>
    <row r="345" spans="3:12" x14ac:dyDescent="0.25">
      <c r="C345" s="171" t="s">
        <v>58</v>
      </c>
      <c r="D345" s="163"/>
      <c r="E345" s="154">
        <v>0</v>
      </c>
      <c r="F345" s="100">
        <f>IF(E344=0,"",(G344/E344)/12*E344)</f>
        <v>0</v>
      </c>
      <c r="G345" s="97">
        <f>F345</f>
        <v>0</v>
      </c>
      <c r="H345" s="164"/>
      <c r="I345" s="116" t="s">
        <v>514</v>
      </c>
      <c r="J345" s="116" t="str">
        <f>VLOOKUP(I345,Presupuesto!$B$11:$C$565,2,0)</f>
        <v>AGUINALDO Y DECIMO CUARTO MES</v>
      </c>
      <c r="K345" s="98" t="str">
        <f t="shared" si="13"/>
        <v>Posgrado</v>
      </c>
      <c r="L345" s="98" t="s">
        <v>393</v>
      </c>
    </row>
    <row r="346" spans="3:12" ht="15.75" thickBot="1" x14ac:dyDescent="0.3">
      <c r="C346" s="172" t="s">
        <v>59</v>
      </c>
      <c r="D346" s="163"/>
      <c r="E346" s="154">
        <v>0</v>
      </c>
      <c r="F346" s="117">
        <f>IF(E344&lt;6,"",((E344-6)/12)*(G344/E344))</f>
        <v>0</v>
      </c>
      <c r="G346" s="97">
        <f>F346</f>
        <v>0</v>
      </c>
      <c r="H346" s="164"/>
      <c r="I346" s="101" t="s">
        <v>517</v>
      </c>
      <c r="J346" s="101" t="str">
        <f>VLOOKUP(I346,Presupuesto!$B$11:$C$565,2,0)</f>
        <v>DECIMOCUARTO MES</v>
      </c>
      <c r="K346" s="98" t="str">
        <f t="shared" si="13"/>
        <v>Posgrado</v>
      </c>
      <c r="L346" s="98" t="s">
        <v>393</v>
      </c>
    </row>
    <row r="347" spans="3:12" ht="15.75" thickBot="1" x14ac:dyDescent="0.3">
      <c r="C347" s="137" t="s">
        <v>490</v>
      </c>
      <c r="D347" s="199"/>
      <c r="E347" s="152">
        <v>12</v>
      </c>
      <c r="F347" s="303">
        <f>HLOOKUP($C347,$BZ$2:$CM$3,2,0)</f>
        <v>13238.9</v>
      </c>
      <c r="G347" s="113">
        <f>D347*E347*F347</f>
        <v>0</v>
      </c>
      <c r="H347" s="166"/>
      <c r="I347" s="114" t="s">
        <v>494</v>
      </c>
      <c r="J347" s="114" t="str">
        <f>VLOOKUP(I347,Presupuesto!$B$11:$C$565,2,0)</f>
        <v>SUELDOS Y SALARIOS PERMANENTES</v>
      </c>
      <c r="K347" s="98" t="str">
        <f t="shared" si="13"/>
        <v>Posgrado</v>
      </c>
      <c r="L347" s="98" t="s">
        <v>393</v>
      </c>
    </row>
    <row r="348" spans="3:12" x14ac:dyDescent="0.25">
      <c r="C348" s="171" t="s">
        <v>58</v>
      </c>
      <c r="D348" s="163"/>
      <c r="E348" s="154">
        <v>0</v>
      </c>
      <c r="F348" s="100">
        <f>IF(E347=0,"",(G347/E347)/12*E347)</f>
        <v>0</v>
      </c>
      <c r="G348" s="97">
        <f>F348</f>
        <v>0</v>
      </c>
      <c r="H348" s="164"/>
      <c r="I348" s="116" t="s">
        <v>514</v>
      </c>
      <c r="J348" s="116" t="str">
        <f>VLOOKUP(I348,Presupuesto!$B$11:$C$565,2,0)</f>
        <v>AGUINALDO Y DECIMO CUARTO MES</v>
      </c>
      <c r="K348" s="98" t="str">
        <f t="shared" si="13"/>
        <v>Posgrado</v>
      </c>
      <c r="L348" s="98" t="s">
        <v>393</v>
      </c>
    </row>
    <row r="349" spans="3:12" ht="15.75" thickBot="1" x14ac:dyDescent="0.3">
      <c r="C349" s="172" t="s">
        <v>59</v>
      </c>
      <c r="D349" s="163"/>
      <c r="E349" s="154">
        <v>0</v>
      </c>
      <c r="F349" s="117">
        <f>IF(E347&lt;6,"",((E347-6)/12)*(G347/E347))</f>
        <v>0</v>
      </c>
      <c r="G349" s="97">
        <f>F349</f>
        <v>0</v>
      </c>
      <c r="H349" s="164"/>
      <c r="I349" s="101" t="s">
        <v>517</v>
      </c>
      <c r="J349" s="101" t="str">
        <f>VLOOKUP(I349,Presupuesto!$B$11:$C$565,2,0)</f>
        <v>DECIMOCUARTO MES</v>
      </c>
      <c r="K349" s="98" t="str">
        <f t="shared" si="13"/>
        <v>Posgrado</v>
      </c>
      <c r="L349" s="98" t="s">
        <v>393</v>
      </c>
    </row>
    <row r="350" spans="3:12" ht="15.75" thickBot="1" x14ac:dyDescent="0.3">
      <c r="C350" s="137" t="s">
        <v>491</v>
      </c>
      <c r="D350" s="199"/>
      <c r="E350" s="152">
        <v>12</v>
      </c>
      <c r="F350" s="303">
        <f>HLOOKUP($C350,$BZ$2:$CM$3,2,0)</f>
        <v>12356.31</v>
      </c>
      <c r="G350" s="113">
        <f>D350*E350*F350</f>
        <v>0</v>
      </c>
      <c r="H350" s="166"/>
      <c r="I350" s="114" t="s">
        <v>494</v>
      </c>
      <c r="J350" s="114" t="str">
        <f>VLOOKUP(I350,Presupuesto!$B$11:$C$565,2,0)</f>
        <v>SUELDOS Y SALARIOS PERMANENTES</v>
      </c>
      <c r="K350" s="98" t="str">
        <f t="shared" ref="K350:K367" si="14">$K$317</f>
        <v>Posgrado</v>
      </c>
      <c r="L350" s="98" t="s">
        <v>393</v>
      </c>
    </row>
    <row r="351" spans="3:12" x14ac:dyDescent="0.25">
      <c r="C351" s="171" t="s">
        <v>58</v>
      </c>
      <c r="D351" s="163"/>
      <c r="E351" s="154">
        <v>0</v>
      </c>
      <c r="F351" s="100">
        <f>IF(E350=0,"",(G350/E350)/12*E350)</f>
        <v>0</v>
      </c>
      <c r="G351" s="97">
        <f>F351</f>
        <v>0</v>
      </c>
      <c r="H351" s="164"/>
      <c r="I351" s="116" t="s">
        <v>514</v>
      </c>
      <c r="J351" s="116" t="str">
        <f>VLOOKUP(I351,Presupuesto!$B$11:$C$565,2,0)</f>
        <v>AGUINALDO Y DECIMO CUARTO MES</v>
      </c>
      <c r="K351" s="98" t="str">
        <f t="shared" si="14"/>
        <v>Posgrado</v>
      </c>
      <c r="L351" s="98" t="s">
        <v>393</v>
      </c>
    </row>
    <row r="352" spans="3:12" ht="15.75" thickBot="1" x14ac:dyDescent="0.3">
      <c r="C352" s="172" t="s">
        <v>59</v>
      </c>
      <c r="D352" s="163"/>
      <c r="E352" s="154">
        <v>0</v>
      </c>
      <c r="F352" s="117">
        <f>IF(E350&lt;6,"",((E350-6)/12)*(G350/E350))</f>
        <v>0</v>
      </c>
      <c r="G352" s="97">
        <f>F352</f>
        <v>0</v>
      </c>
      <c r="H352" s="164"/>
      <c r="I352" s="101" t="s">
        <v>517</v>
      </c>
      <c r="J352" s="101" t="str">
        <f>VLOOKUP(I352,Presupuesto!$B$11:$C$565,2,0)</f>
        <v>DECIMOCUARTO MES</v>
      </c>
      <c r="K352" s="98" t="str">
        <f t="shared" si="14"/>
        <v>Posgrado</v>
      </c>
      <c r="L352" s="98" t="s">
        <v>393</v>
      </c>
    </row>
    <row r="353" spans="3:12" ht="15.75" thickBot="1" x14ac:dyDescent="0.3">
      <c r="C353" s="137" t="s">
        <v>492</v>
      </c>
      <c r="D353" s="199"/>
      <c r="E353" s="152">
        <v>12</v>
      </c>
      <c r="F353" s="303">
        <f>HLOOKUP($C353,$BZ$2:$CM$3,2,0)</f>
        <v>463.22</v>
      </c>
      <c r="G353" s="113">
        <f>D353*E353*F353</f>
        <v>0</v>
      </c>
      <c r="H353" s="166"/>
      <c r="I353" s="114" t="s">
        <v>494</v>
      </c>
      <c r="J353" s="114" t="str">
        <f>VLOOKUP(I353,Presupuesto!$B$11:$C$565,2,0)</f>
        <v>SUELDOS Y SALARIOS PERMANENTES</v>
      </c>
      <c r="K353" s="98" t="str">
        <f t="shared" si="14"/>
        <v>Posgrado</v>
      </c>
      <c r="L353" s="98" t="s">
        <v>393</v>
      </c>
    </row>
    <row r="354" spans="3:12" x14ac:dyDescent="0.25">
      <c r="C354" s="171" t="s">
        <v>58</v>
      </c>
      <c r="D354" s="163"/>
      <c r="E354" s="154">
        <v>0</v>
      </c>
      <c r="F354" s="100">
        <f>IF(E353=0,"",(G353/E353)/12*E353)</f>
        <v>0</v>
      </c>
      <c r="G354" s="97">
        <f>F354</f>
        <v>0</v>
      </c>
      <c r="H354" s="164"/>
      <c r="I354" s="116" t="s">
        <v>514</v>
      </c>
      <c r="J354" s="116" t="str">
        <f>VLOOKUP(I354,Presupuesto!$B$11:$C$565,2,0)</f>
        <v>AGUINALDO Y DECIMO CUARTO MES</v>
      </c>
      <c r="K354" s="98" t="str">
        <f t="shared" si="14"/>
        <v>Posgrado</v>
      </c>
      <c r="L354" s="98" t="s">
        <v>393</v>
      </c>
    </row>
    <row r="355" spans="3:12" ht="15.75" thickBot="1" x14ac:dyDescent="0.3">
      <c r="C355" s="172" t="s">
        <v>59</v>
      </c>
      <c r="D355" s="163"/>
      <c r="E355" s="154">
        <v>0</v>
      </c>
      <c r="F355" s="117">
        <f>IF(E353&lt;6,"",((E353-6)/12)*(G353/E353))</f>
        <v>0</v>
      </c>
      <c r="G355" s="97">
        <f>F355</f>
        <v>0</v>
      </c>
      <c r="H355" s="164"/>
      <c r="I355" s="101" t="s">
        <v>517</v>
      </c>
      <c r="J355" s="101" t="str">
        <f>VLOOKUP(I355,Presupuesto!$B$11:$C$565,2,0)</f>
        <v>DECIMOCUARTO MES</v>
      </c>
      <c r="K355" s="98" t="str">
        <f t="shared" si="14"/>
        <v>Posgrado</v>
      </c>
      <c r="L355" s="98" t="s">
        <v>393</v>
      </c>
    </row>
    <row r="356" spans="3:12" ht="15.75" thickBot="1" x14ac:dyDescent="0.3">
      <c r="C356" s="137" t="s">
        <v>493</v>
      </c>
      <c r="D356" s="199"/>
      <c r="E356" s="152">
        <v>12</v>
      </c>
      <c r="F356" s="303">
        <f>HLOOKUP($C356,$BZ$2:$CM$3,2,0)</f>
        <v>2007.3</v>
      </c>
      <c r="G356" s="113">
        <f>D356*E356*F356</f>
        <v>0</v>
      </c>
      <c r="H356" s="166"/>
      <c r="I356" s="114" t="s">
        <v>494</v>
      </c>
      <c r="J356" s="114" t="str">
        <f>VLOOKUP(I356,Presupuesto!$B$11:$C$565,2,0)</f>
        <v>SUELDOS Y SALARIOS PERMANENTES</v>
      </c>
      <c r="K356" s="98" t="str">
        <f t="shared" si="14"/>
        <v>Posgrado</v>
      </c>
      <c r="L356" s="98" t="s">
        <v>393</v>
      </c>
    </row>
    <row r="357" spans="3:12" x14ac:dyDescent="0.25">
      <c r="C357" s="171" t="s">
        <v>58</v>
      </c>
      <c r="D357" s="163"/>
      <c r="E357" s="154">
        <v>0</v>
      </c>
      <c r="F357" s="100">
        <f>IF(E356=0,"",(G356/E356)/12*E356)</f>
        <v>0</v>
      </c>
      <c r="G357" s="97">
        <f>F357</f>
        <v>0</v>
      </c>
      <c r="H357" s="164"/>
      <c r="I357" s="116" t="s">
        <v>514</v>
      </c>
      <c r="J357" s="116" t="str">
        <f>VLOOKUP(I357,Presupuesto!$B$11:$C$565,2,0)</f>
        <v>AGUINALDO Y DECIMO CUARTO MES</v>
      </c>
      <c r="K357" s="98" t="str">
        <f t="shared" si="14"/>
        <v>Posgrado</v>
      </c>
      <c r="L357" s="98" t="s">
        <v>393</v>
      </c>
    </row>
    <row r="358" spans="3:12" ht="15.75" thickBot="1" x14ac:dyDescent="0.3">
      <c r="C358" s="172" t="s">
        <v>59</v>
      </c>
      <c r="D358" s="163"/>
      <c r="E358" s="154">
        <v>0</v>
      </c>
      <c r="F358" s="117">
        <f>IF(E356&lt;6,"",((E356-6)/12)*(G356/E356))</f>
        <v>0</v>
      </c>
      <c r="G358" s="97">
        <f>F358</f>
        <v>0</v>
      </c>
      <c r="H358" s="164"/>
      <c r="I358" s="101" t="s">
        <v>517</v>
      </c>
      <c r="J358" s="101" t="str">
        <f>VLOOKUP(I358,Presupuesto!$B$11:$C$565,2,0)</f>
        <v>DECIMOCUARTO MES</v>
      </c>
      <c r="K358" s="98" t="str">
        <f t="shared" si="14"/>
        <v>Posgrado</v>
      </c>
      <c r="L358" s="98" t="s">
        <v>393</v>
      </c>
    </row>
    <row r="359" spans="3:12" ht="15.75" thickBot="1" x14ac:dyDescent="0.3">
      <c r="C359" s="140" t="s">
        <v>83</v>
      </c>
      <c r="D359" s="199"/>
      <c r="E359" s="152">
        <v>12</v>
      </c>
      <c r="F359" s="139">
        <v>30000</v>
      </c>
      <c r="G359" s="113">
        <f>D359*E359*F359</f>
        <v>0</v>
      </c>
      <c r="H359" s="166"/>
      <c r="I359" s="114" t="s">
        <v>562</v>
      </c>
      <c r="J359" s="114" t="str">
        <f>VLOOKUP(I359,Presupuesto!$B$11:$C$565,2,0)</f>
        <v>CONTRATOS ESPECIALES</v>
      </c>
      <c r="K359" s="98" t="str">
        <f t="shared" si="14"/>
        <v>Posgrado</v>
      </c>
      <c r="L359" s="98" t="s">
        <v>393</v>
      </c>
    </row>
    <row r="360" spans="3:12" x14ac:dyDescent="0.25">
      <c r="C360" s="171" t="s">
        <v>58</v>
      </c>
      <c r="D360" s="163"/>
      <c r="E360" s="154">
        <v>0</v>
      </c>
      <c r="F360" s="117">
        <f>IF(E359=0,"",(G359/E359)/12*E359)</f>
        <v>0</v>
      </c>
      <c r="G360" s="97">
        <f>F360</f>
        <v>0</v>
      </c>
      <c r="H360" s="164"/>
      <c r="I360" s="101" t="s">
        <v>562</v>
      </c>
      <c r="J360" s="101" t="str">
        <f>VLOOKUP(I360,Presupuesto!$B$11:$C$565,2,0)</f>
        <v>CONTRATOS ESPECIALES</v>
      </c>
      <c r="K360" s="98" t="str">
        <f t="shared" si="14"/>
        <v>Posgrado</v>
      </c>
      <c r="L360" s="98" t="s">
        <v>392</v>
      </c>
    </row>
    <row r="361" spans="3:12" ht="15.75" thickBot="1" x14ac:dyDescent="0.3">
      <c r="C361" s="172" t="s">
        <v>59</v>
      </c>
      <c r="D361" s="163"/>
      <c r="E361" s="154">
        <v>0</v>
      </c>
      <c r="F361" s="100">
        <f>IF(E359&lt;6,"",((E359-6)/12)*(G359/E359))</f>
        <v>0</v>
      </c>
      <c r="G361" s="97">
        <f>F361</f>
        <v>0</v>
      </c>
      <c r="H361" s="164"/>
      <c r="I361" s="101" t="s">
        <v>562</v>
      </c>
      <c r="J361" s="101" t="str">
        <f>VLOOKUP(I361,Presupuesto!$B$11:$C$565,2,0)</f>
        <v>CONTRATOS ESPECIALES</v>
      </c>
      <c r="K361" s="98" t="str">
        <f t="shared" si="14"/>
        <v>Posgrado</v>
      </c>
      <c r="L361" s="98" t="s">
        <v>397</v>
      </c>
    </row>
    <row r="362" spans="3:12" ht="15.75" thickBot="1" x14ac:dyDescent="0.3">
      <c r="C362" s="140" t="s">
        <v>60</v>
      </c>
      <c r="D362" s="199"/>
      <c r="E362" s="152">
        <v>12</v>
      </c>
      <c r="F362" s="118">
        <v>30000</v>
      </c>
      <c r="G362" s="113">
        <f>D362*E362*F362</f>
        <v>0</v>
      </c>
      <c r="H362" s="166"/>
      <c r="I362" s="114" t="s">
        <v>703</v>
      </c>
      <c r="J362" s="114" t="str">
        <f>VLOOKUP(I362,Presupuesto!$B$11:$C$565,2,0)</f>
        <v>OTROS SERVICIOS TECNICOS Y PROFESIONALES</v>
      </c>
      <c r="K362" s="98" t="str">
        <f t="shared" si="14"/>
        <v>Posgrado</v>
      </c>
      <c r="L362" s="98" t="s">
        <v>392</v>
      </c>
    </row>
    <row r="363" spans="3:12" x14ac:dyDescent="0.25">
      <c r="C363" s="171" t="s">
        <v>58</v>
      </c>
      <c r="D363" s="163"/>
      <c r="E363" s="154">
        <v>0</v>
      </c>
      <c r="F363" s="100">
        <v>0</v>
      </c>
      <c r="G363" s="97">
        <f>F363</f>
        <v>0</v>
      </c>
      <c r="H363" s="164"/>
      <c r="I363" s="101" t="s">
        <v>703</v>
      </c>
      <c r="J363" s="101" t="str">
        <f>VLOOKUP(I363,Presupuesto!$B$11:$C$565,2,0)</f>
        <v>OTROS SERVICIOS TECNICOS Y PROFESIONALES</v>
      </c>
      <c r="K363" s="98" t="str">
        <f t="shared" si="14"/>
        <v>Posgrado</v>
      </c>
      <c r="L363" s="98" t="s">
        <v>392</v>
      </c>
    </row>
    <row r="364" spans="3:12" ht="15.75" thickBot="1" x14ac:dyDescent="0.3">
      <c r="C364" s="172" t="s">
        <v>59</v>
      </c>
      <c r="D364" s="163"/>
      <c r="E364" s="154">
        <v>0</v>
      </c>
      <c r="F364" s="100">
        <v>0</v>
      </c>
      <c r="G364" s="97">
        <f>F364</f>
        <v>0</v>
      </c>
      <c r="H364" s="164"/>
      <c r="I364" s="101" t="s">
        <v>703</v>
      </c>
      <c r="J364" s="101" t="str">
        <f>VLOOKUP(I364,Presupuesto!$B$11:$C$565,2,0)</f>
        <v>OTROS SERVICIOS TECNICOS Y PROFESIONALES</v>
      </c>
      <c r="K364" s="98" t="str">
        <f t="shared" si="14"/>
        <v>Posgrado</v>
      </c>
      <c r="L364" s="98" t="s">
        <v>392</v>
      </c>
    </row>
    <row r="365" spans="3:12" ht="15.75" thickBot="1" x14ac:dyDescent="0.3">
      <c r="C365" s="140" t="s">
        <v>61</v>
      </c>
      <c r="D365" s="199"/>
      <c r="E365" s="152">
        <v>12</v>
      </c>
      <c r="F365" s="118">
        <v>30000</v>
      </c>
      <c r="G365" s="113">
        <f>D365*E365*F365</f>
        <v>0</v>
      </c>
      <c r="H365" s="166"/>
      <c r="I365" s="114" t="s">
        <v>494</v>
      </c>
      <c r="J365" s="114" t="str">
        <f>VLOOKUP(I365,Presupuesto!$B$11:$C$565,2,0)</f>
        <v>SUELDOS Y SALARIOS PERMANENTES</v>
      </c>
      <c r="K365" s="98" t="str">
        <f t="shared" si="14"/>
        <v>Posgrado</v>
      </c>
      <c r="L365" s="98" t="s">
        <v>392</v>
      </c>
    </row>
    <row r="366" spans="3:12" x14ac:dyDescent="0.25">
      <c r="C366" s="171" t="s">
        <v>58</v>
      </c>
      <c r="D366" s="169"/>
      <c r="E366" s="131">
        <v>0</v>
      </c>
      <c r="F366" s="119">
        <f>IF(E365=0,"",(G365/E365)/12*E365)</f>
        <v>0</v>
      </c>
      <c r="G366" s="120">
        <f>F366</f>
        <v>0</v>
      </c>
      <c r="H366" s="164"/>
      <c r="I366" s="101" t="s">
        <v>514</v>
      </c>
      <c r="J366" s="101" t="str">
        <f>VLOOKUP(I366,Presupuesto!$B$11:$C$565,2,0)</f>
        <v>AGUINALDO Y DECIMO CUARTO MES</v>
      </c>
      <c r="K366" s="98" t="str">
        <f t="shared" si="14"/>
        <v>Posgrado</v>
      </c>
      <c r="L366" s="98" t="s">
        <v>392</v>
      </c>
    </row>
    <row r="367" spans="3:12" ht="15.75" thickBot="1" x14ac:dyDescent="0.3">
      <c r="C367" s="173" t="s">
        <v>59</v>
      </c>
      <c r="D367" s="162"/>
      <c r="E367" s="132">
        <v>0</v>
      </c>
      <c r="F367" s="105">
        <f>IF(E365&lt;6,"",((E365-6)/12)*(G365/E365))</f>
        <v>0</v>
      </c>
      <c r="G367" s="105">
        <f>F367</f>
        <v>0</v>
      </c>
      <c r="H367" s="162"/>
      <c r="I367" s="106" t="s">
        <v>517</v>
      </c>
      <c r="J367" s="124" t="str">
        <f>VLOOKUP(I367,Presupuesto!$B$11:$C$565,2,0)</f>
        <v>DECIMOCUARTO MES</v>
      </c>
      <c r="K367" s="106" t="str">
        <f t="shared" si="14"/>
        <v>Posgrado</v>
      </c>
      <c r="L367" s="124" t="s">
        <v>392</v>
      </c>
    </row>
    <row r="369" spans="3:12" ht="15.75" thickBot="1" x14ac:dyDescent="0.3">
      <c r="K369" s="153"/>
    </row>
    <row r="370" spans="3:12" ht="15.75" thickBot="1" x14ac:dyDescent="0.3">
      <c r="C370" s="69" t="s">
        <v>43</v>
      </c>
      <c r="D370" s="30">
        <f>SUM(G377:G427)</f>
        <v>0</v>
      </c>
      <c r="E370" s="93"/>
      <c r="F370" s="93"/>
      <c r="G370" s="93"/>
      <c r="H370" s="76"/>
      <c r="I370" s="76"/>
      <c r="J370" s="76"/>
      <c r="K370" s="153"/>
    </row>
    <row r="371" spans="3:12" x14ac:dyDescent="0.25">
      <c r="D371" s="31"/>
      <c r="E371" s="93"/>
      <c r="F371" s="93"/>
      <c r="G371" s="93"/>
      <c r="H371" s="76"/>
      <c r="I371" s="76"/>
      <c r="J371" s="76"/>
      <c r="K371" s="153"/>
    </row>
    <row r="372" spans="3:12" x14ac:dyDescent="0.25">
      <c r="D372" s="31"/>
      <c r="E372" s="93"/>
      <c r="F372" s="93"/>
      <c r="G372" s="93"/>
      <c r="H372" s="76"/>
      <c r="I372" s="76"/>
      <c r="J372" s="76"/>
      <c r="K372" s="153"/>
    </row>
    <row r="373" spans="3:12" ht="15.75" x14ac:dyDescent="0.25">
      <c r="C373" s="202" t="s">
        <v>390</v>
      </c>
      <c r="D373" s="368"/>
      <c r="E373" s="93"/>
      <c r="F373" s="93"/>
      <c r="G373" s="93"/>
      <c r="H373" s="76"/>
      <c r="I373" s="76"/>
      <c r="J373" s="76"/>
      <c r="K373" s="153"/>
    </row>
    <row r="374" spans="3:12" ht="18.75" x14ac:dyDescent="0.25">
      <c r="C374" s="210" t="e">
        <f>IFERROR(VLOOKUP(D373,'1. Desarrollo e Innov. Curricu.'!$F:$G,2,FALSE),IFERROR(VLOOKUP(D373,'2. Investigación Científica'!$F:$G,2,FALSE),IFERROR(VLOOKUP(D373,'3. Vinculación Univ. Sociedad'!$F:$G,2,FALSE),IFERROR(VLOOKUP(D373,'4. Docencia y Profesorado Univ.'!$F:$G,2,FALSE),IFERROR(VLOOKUP(D373,'5. Estudiantes y Graduados'!$F:$G,2,FALSE),IFERROR(VLOOKUP(D373,'11. Gestion Administrativa'!$F:$G,2,FALSE),IFERROR(VLOOKUP(D373,'13. Gestión Académica'!$F:$G,2,FALSE),IFERROR(VLOOKUP(D373,'9. Asegura. de la Calid. y M'!$F:$G,2,FALSE),IFERROR(VLOOKUP(D373,'6. Gestión del Conocimiento'!$F:$G,2,FALSE),IFERROR(VLOOKUP(D373,'15. Gobernabilidad y Proceso...'!$G:$H,2,FALSE),IFERROR(VLOOKUP(D373,'12. Gestión del Talento Humano'!$F:$G,2,FALSE),IFERROR(VLOOKUP(D373,'14. Internacional... de la E.S.'!$F:$G,2,FALSE),IFERROR(VLOOKUP(D373,'10. Posgrado'!$F:$G,2,FALSE),IFERROR(VLOOKUP(D373,'17. Gestión TIC'!$F:$G,2,FALSE),IFERROR(VLOOKUP(D373,'16. Desa. del Sistema Educ.Sup.'!$F:$G,2,FALSE),IFERROR(VLOOKUP(D373,'8. Cultura de Inno. Insti...'!$F:$G,2,FALSE),VLOOKUP(D373,'7. Lo Esencial de la Reforma U.'!$G:$H,2,0)))))))))))))))))</f>
        <v>#N/A</v>
      </c>
      <c r="D374" s="31"/>
      <c r="E374" s="93"/>
      <c r="F374" s="93"/>
      <c r="G374" s="93"/>
      <c r="H374" s="76"/>
      <c r="I374" s="76"/>
      <c r="J374" s="76"/>
      <c r="K374" s="153"/>
    </row>
    <row r="375" spans="3:12" ht="15.75" thickBot="1" x14ac:dyDescent="0.3">
      <c r="C375" s="177"/>
      <c r="D375" s="31"/>
      <c r="E375" s="93"/>
      <c r="F375" s="93"/>
      <c r="G375" s="93"/>
      <c r="H375" s="76"/>
      <c r="I375" s="76"/>
      <c r="J375" s="76"/>
      <c r="K375" s="153"/>
    </row>
    <row r="376" spans="3:12" ht="30.75" thickBot="1" x14ac:dyDescent="0.3">
      <c r="C376" s="134" t="s">
        <v>44</v>
      </c>
      <c r="D376" s="138" t="s">
        <v>55</v>
      </c>
      <c r="E376" s="170" t="s">
        <v>56</v>
      </c>
      <c r="F376" s="138" t="s">
        <v>57</v>
      </c>
      <c r="G376" s="135" t="s">
        <v>27</v>
      </c>
      <c r="H376" s="133" t="s">
        <v>129</v>
      </c>
      <c r="I376" s="136" t="s">
        <v>46</v>
      </c>
      <c r="J376" s="136" t="s">
        <v>130</v>
      </c>
      <c r="K376" s="136" t="s">
        <v>408</v>
      </c>
      <c r="L376" s="136" t="s">
        <v>409</v>
      </c>
    </row>
    <row r="377" spans="3:12" ht="15.75" thickBot="1" x14ac:dyDescent="0.3">
      <c r="C377" s="137" t="s">
        <v>480</v>
      </c>
      <c r="D377" s="199"/>
      <c r="E377" s="152">
        <v>12</v>
      </c>
      <c r="F377" s="303">
        <f>HLOOKUP($C377,$BZ$2:$CM$3,2,0)</f>
        <v>43674.39</v>
      </c>
      <c r="G377" s="113">
        <f>D377*E377*F377</f>
        <v>0</v>
      </c>
      <c r="H377" s="166"/>
      <c r="I377" s="114" t="s">
        <v>494</v>
      </c>
      <c r="J377" s="114" t="str">
        <f>VLOOKUP(I377,Presupuesto!$B$11:$C$565,2,0)</f>
        <v>SUELDOS Y SALARIOS PERMANENTES</v>
      </c>
      <c r="K377" s="218" t="s">
        <v>1443</v>
      </c>
      <c r="L377" s="98" t="s">
        <v>392</v>
      </c>
    </row>
    <row r="378" spans="3:12" x14ac:dyDescent="0.25">
      <c r="C378" s="171" t="s">
        <v>58</v>
      </c>
      <c r="D378" s="163"/>
      <c r="E378" s="154">
        <v>0</v>
      </c>
      <c r="F378" s="100">
        <f>IF(E377=0,"",(G377/E377)/12*E377)</f>
        <v>0</v>
      </c>
      <c r="G378" s="97">
        <f>F378</f>
        <v>0</v>
      </c>
      <c r="H378" s="164"/>
      <c r="I378" s="116" t="s">
        <v>514</v>
      </c>
      <c r="J378" s="116" t="str">
        <f>VLOOKUP(I378,Presupuesto!$B$11:$C$565,2,0)</f>
        <v>AGUINALDO Y DECIMO CUARTO MES</v>
      </c>
      <c r="K378" s="98" t="str">
        <f t="shared" ref="K378:K409" si="15">$K$377</f>
        <v>Posgrado</v>
      </c>
      <c r="L378" s="98" t="s">
        <v>410</v>
      </c>
    </row>
    <row r="379" spans="3:12" ht="15.75" thickBot="1" x14ac:dyDescent="0.3">
      <c r="C379" s="172" t="s">
        <v>59</v>
      </c>
      <c r="D379" s="163"/>
      <c r="E379" s="154">
        <v>0</v>
      </c>
      <c r="F379" s="117">
        <f>IF(E377&lt;6,"",((E377-6)/12)*(G377/E377))</f>
        <v>0</v>
      </c>
      <c r="G379" s="97">
        <f>F379</f>
        <v>0</v>
      </c>
      <c r="H379" s="164"/>
      <c r="I379" s="101" t="s">
        <v>517</v>
      </c>
      <c r="J379" s="101" t="str">
        <f>VLOOKUP(I379,Presupuesto!$B$11:$C$565,2,0)</f>
        <v>DECIMOCUARTO MES</v>
      </c>
      <c r="K379" s="98" t="str">
        <f t="shared" si="15"/>
        <v>Posgrado</v>
      </c>
      <c r="L379" s="98" t="s">
        <v>393</v>
      </c>
    </row>
    <row r="380" spans="3:12" ht="15.75" thickBot="1" x14ac:dyDescent="0.3">
      <c r="C380" s="137" t="s">
        <v>481</v>
      </c>
      <c r="D380" s="199"/>
      <c r="E380" s="152">
        <v>12</v>
      </c>
      <c r="F380" s="303">
        <f>HLOOKUP($C380,$BZ$2:$CM$3,2,0)</f>
        <v>39703.99</v>
      </c>
      <c r="G380" s="113">
        <f>D380*E380*F380</f>
        <v>0</v>
      </c>
      <c r="H380" s="166"/>
      <c r="I380" s="114" t="s">
        <v>494</v>
      </c>
      <c r="J380" s="114" t="str">
        <f>VLOOKUP(I380,Presupuesto!$B$11:$C$565,2,0)</f>
        <v>SUELDOS Y SALARIOS PERMANENTES</v>
      </c>
      <c r="K380" s="98" t="str">
        <f t="shared" si="15"/>
        <v>Posgrado</v>
      </c>
      <c r="L380" s="98" t="s">
        <v>393</v>
      </c>
    </row>
    <row r="381" spans="3:12" x14ac:dyDescent="0.25">
      <c r="C381" s="171" t="s">
        <v>58</v>
      </c>
      <c r="D381" s="163"/>
      <c r="E381" s="154">
        <v>0</v>
      </c>
      <c r="F381" s="100">
        <f>IF(E380=0,"",(G380/E380)/12*E380)</f>
        <v>0</v>
      </c>
      <c r="G381" s="97">
        <f>F381</f>
        <v>0</v>
      </c>
      <c r="H381" s="164"/>
      <c r="I381" s="116" t="s">
        <v>514</v>
      </c>
      <c r="J381" s="116" t="str">
        <f>VLOOKUP(I381,Presupuesto!$B$11:$C$565,2,0)</f>
        <v>AGUINALDO Y DECIMO CUARTO MES</v>
      </c>
      <c r="K381" s="98" t="str">
        <f t="shared" si="15"/>
        <v>Posgrado</v>
      </c>
      <c r="L381" s="98" t="s">
        <v>393</v>
      </c>
    </row>
    <row r="382" spans="3:12" ht="15.75" thickBot="1" x14ac:dyDescent="0.3">
      <c r="C382" s="172" t="s">
        <v>59</v>
      </c>
      <c r="D382" s="163"/>
      <c r="E382" s="154">
        <v>0</v>
      </c>
      <c r="F382" s="117">
        <f>IF(E380&lt;6,"",((E380-6)/12)*(G380/E380))</f>
        <v>0</v>
      </c>
      <c r="G382" s="97">
        <f>F382</f>
        <v>0</v>
      </c>
      <c r="H382" s="164"/>
      <c r="I382" s="101" t="s">
        <v>517</v>
      </c>
      <c r="J382" s="101" t="str">
        <f>VLOOKUP(I382,Presupuesto!$B$11:$C$565,2,0)</f>
        <v>DECIMOCUARTO MES</v>
      </c>
      <c r="K382" s="98" t="str">
        <f t="shared" si="15"/>
        <v>Posgrado</v>
      </c>
      <c r="L382" s="98" t="s">
        <v>393</v>
      </c>
    </row>
    <row r="383" spans="3:12" ht="15.75" thickBot="1" x14ac:dyDescent="0.3">
      <c r="C383" s="137" t="s">
        <v>482</v>
      </c>
      <c r="D383" s="199"/>
      <c r="E383" s="152">
        <v>12</v>
      </c>
      <c r="F383" s="303">
        <f>HLOOKUP($C383,$BZ$2:$CM$3,2,0)</f>
        <v>35733.589999999997</v>
      </c>
      <c r="G383" s="113">
        <f>D383*E383*F383</f>
        <v>0</v>
      </c>
      <c r="H383" s="166"/>
      <c r="I383" s="114" t="s">
        <v>494</v>
      </c>
      <c r="J383" s="114" t="str">
        <f>VLOOKUP(I383,Presupuesto!$B$11:$C$565,2,0)</f>
        <v>SUELDOS Y SALARIOS PERMANENTES</v>
      </c>
      <c r="K383" s="98" t="str">
        <f t="shared" si="15"/>
        <v>Posgrado</v>
      </c>
      <c r="L383" s="98" t="s">
        <v>393</v>
      </c>
    </row>
    <row r="384" spans="3:12" x14ac:dyDescent="0.25">
      <c r="C384" s="171" t="s">
        <v>58</v>
      </c>
      <c r="D384" s="163"/>
      <c r="E384" s="154">
        <v>0</v>
      </c>
      <c r="F384" s="100">
        <f>IF(E383=0,"",(G383/E383)/12*E383)</f>
        <v>0</v>
      </c>
      <c r="G384" s="97">
        <f>F384</f>
        <v>0</v>
      </c>
      <c r="H384" s="164"/>
      <c r="I384" s="116" t="s">
        <v>514</v>
      </c>
      <c r="J384" s="116" t="str">
        <f>VLOOKUP(I384,Presupuesto!$B$11:$C$565,2,0)</f>
        <v>AGUINALDO Y DECIMO CUARTO MES</v>
      </c>
      <c r="K384" s="98" t="str">
        <f t="shared" si="15"/>
        <v>Posgrado</v>
      </c>
      <c r="L384" s="98" t="s">
        <v>393</v>
      </c>
    </row>
    <row r="385" spans="3:12" ht="15.75" thickBot="1" x14ac:dyDescent="0.3">
      <c r="C385" s="172" t="s">
        <v>59</v>
      </c>
      <c r="D385" s="163"/>
      <c r="E385" s="154">
        <v>0</v>
      </c>
      <c r="F385" s="117">
        <f>IF(E383&lt;6,"",((E383-6)/12)*(G383/E383))</f>
        <v>0</v>
      </c>
      <c r="G385" s="97">
        <f>F385</f>
        <v>0</v>
      </c>
      <c r="H385" s="164"/>
      <c r="I385" s="101" t="s">
        <v>517</v>
      </c>
      <c r="J385" s="101" t="str">
        <f>VLOOKUP(I385,Presupuesto!$B$11:$C$565,2,0)</f>
        <v>DECIMOCUARTO MES</v>
      </c>
      <c r="K385" s="98" t="str">
        <f t="shared" si="15"/>
        <v>Posgrado</v>
      </c>
      <c r="L385" s="98" t="s">
        <v>393</v>
      </c>
    </row>
    <row r="386" spans="3:12" ht="15.75" thickBot="1" x14ac:dyDescent="0.3">
      <c r="C386" s="137" t="s">
        <v>483</v>
      </c>
      <c r="D386" s="199"/>
      <c r="E386" s="152">
        <v>12</v>
      </c>
      <c r="F386" s="303">
        <f>HLOOKUP($C386,$BZ$2:$CM$3,2,0)</f>
        <v>31763.19</v>
      </c>
      <c r="G386" s="113">
        <f>D386*E386*F386</f>
        <v>0</v>
      </c>
      <c r="H386" s="166"/>
      <c r="I386" s="114" t="s">
        <v>494</v>
      </c>
      <c r="J386" s="114" t="str">
        <f>VLOOKUP(I386,Presupuesto!$B$11:$C$565,2,0)</f>
        <v>SUELDOS Y SALARIOS PERMANENTES</v>
      </c>
      <c r="K386" s="98" t="str">
        <f t="shared" si="15"/>
        <v>Posgrado</v>
      </c>
      <c r="L386" s="98" t="s">
        <v>393</v>
      </c>
    </row>
    <row r="387" spans="3:12" x14ac:dyDescent="0.25">
      <c r="C387" s="171" t="s">
        <v>58</v>
      </c>
      <c r="D387" s="163"/>
      <c r="E387" s="154">
        <v>0</v>
      </c>
      <c r="F387" s="100">
        <f>IF(E386=0,"",(G386/E386)/12*E386)</f>
        <v>0</v>
      </c>
      <c r="G387" s="97">
        <f>F387</f>
        <v>0</v>
      </c>
      <c r="H387" s="164"/>
      <c r="I387" s="116" t="s">
        <v>514</v>
      </c>
      <c r="J387" s="116" t="str">
        <f>VLOOKUP(I387,Presupuesto!$B$11:$C$565,2,0)</f>
        <v>AGUINALDO Y DECIMO CUARTO MES</v>
      </c>
      <c r="K387" s="98" t="str">
        <f t="shared" si="15"/>
        <v>Posgrado</v>
      </c>
      <c r="L387" s="98" t="s">
        <v>393</v>
      </c>
    </row>
    <row r="388" spans="3:12" ht="15.75" thickBot="1" x14ac:dyDescent="0.3">
      <c r="C388" s="172" t="s">
        <v>59</v>
      </c>
      <c r="D388" s="163"/>
      <c r="E388" s="154">
        <v>0</v>
      </c>
      <c r="F388" s="117">
        <f>IF(E386&lt;6,"",((E386-6)/12)*(G386/E386))</f>
        <v>0</v>
      </c>
      <c r="G388" s="97">
        <f>F388</f>
        <v>0</v>
      </c>
      <c r="H388" s="164"/>
      <c r="I388" s="101" t="s">
        <v>517</v>
      </c>
      <c r="J388" s="101" t="str">
        <f>VLOOKUP(I388,Presupuesto!$B$11:$C$565,2,0)</f>
        <v>DECIMOCUARTO MES</v>
      </c>
      <c r="K388" s="98" t="str">
        <f t="shared" si="15"/>
        <v>Posgrado</v>
      </c>
      <c r="L388" s="98" t="s">
        <v>393</v>
      </c>
    </row>
    <row r="389" spans="3:12" ht="15.75" thickBot="1" x14ac:dyDescent="0.3">
      <c r="C389" s="137" t="s">
        <v>484</v>
      </c>
      <c r="D389" s="199"/>
      <c r="E389" s="152">
        <v>12</v>
      </c>
      <c r="F389" s="303">
        <f>HLOOKUP($C389,$BZ$2:$CM$3,2,0)</f>
        <v>29777.99</v>
      </c>
      <c r="G389" s="113">
        <f>D389*E389*F389</f>
        <v>0</v>
      </c>
      <c r="H389" s="166"/>
      <c r="I389" s="114" t="s">
        <v>494</v>
      </c>
      <c r="J389" s="114" t="str">
        <f>VLOOKUP(I389,Presupuesto!$B$11:$C$565,2,0)</f>
        <v>SUELDOS Y SALARIOS PERMANENTES</v>
      </c>
      <c r="K389" s="98" t="str">
        <f t="shared" si="15"/>
        <v>Posgrado</v>
      </c>
      <c r="L389" s="98" t="s">
        <v>393</v>
      </c>
    </row>
    <row r="390" spans="3:12" x14ac:dyDescent="0.25">
      <c r="C390" s="171" t="s">
        <v>58</v>
      </c>
      <c r="D390" s="163"/>
      <c r="E390" s="154">
        <v>0</v>
      </c>
      <c r="F390" s="100">
        <f>IF(E389=0,"",(G389/E389)/12*E389)</f>
        <v>0</v>
      </c>
      <c r="G390" s="97">
        <f>F390</f>
        <v>0</v>
      </c>
      <c r="H390" s="164"/>
      <c r="I390" s="116" t="s">
        <v>514</v>
      </c>
      <c r="J390" s="116" t="str">
        <f>VLOOKUP(I390,Presupuesto!$B$11:$C$565,2,0)</f>
        <v>AGUINALDO Y DECIMO CUARTO MES</v>
      </c>
      <c r="K390" s="98" t="str">
        <f t="shared" si="15"/>
        <v>Posgrado</v>
      </c>
      <c r="L390" s="98" t="s">
        <v>393</v>
      </c>
    </row>
    <row r="391" spans="3:12" ht="15.75" thickBot="1" x14ac:dyDescent="0.3">
      <c r="C391" s="172" t="s">
        <v>59</v>
      </c>
      <c r="D391" s="163"/>
      <c r="E391" s="154">
        <v>0</v>
      </c>
      <c r="F391" s="117">
        <f>IF(E389&lt;6,"",((E389-6)/12)*(G389/E389))</f>
        <v>0</v>
      </c>
      <c r="G391" s="97">
        <f>F391</f>
        <v>0</v>
      </c>
      <c r="H391" s="164"/>
      <c r="I391" s="101" t="s">
        <v>517</v>
      </c>
      <c r="J391" s="101" t="str">
        <f>VLOOKUP(I391,Presupuesto!$B$11:$C$565,2,0)</f>
        <v>DECIMOCUARTO MES</v>
      </c>
      <c r="K391" s="98" t="str">
        <f t="shared" si="15"/>
        <v>Posgrado</v>
      </c>
      <c r="L391" s="98" t="s">
        <v>393</v>
      </c>
    </row>
    <row r="392" spans="3:12" ht="15.75" thickBot="1" x14ac:dyDescent="0.3">
      <c r="C392" s="137" t="s">
        <v>485</v>
      </c>
      <c r="D392" s="199"/>
      <c r="E392" s="152">
        <v>12</v>
      </c>
      <c r="F392" s="303">
        <f>HLOOKUP($C392,$BZ$2:$CM$3,2,0)</f>
        <v>27792.79</v>
      </c>
      <c r="G392" s="113">
        <f>D392*E392*F392</f>
        <v>0</v>
      </c>
      <c r="H392" s="166"/>
      <c r="I392" s="114" t="s">
        <v>494</v>
      </c>
      <c r="J392" s="114" t="str">
        <f>VLOOKUP(I392,Presupuesto!$B$11:$C$565,2,0)</f>
        <v>SUELDOS Y SALARIOS PERMANENTES</v>
      </c>
      <c r="K392" s="98" t="str">
        <f t="shared" si="15"/>
        <v>Posgrado</v>
      </c>
      <c r="L392" s="98" t="s">
        <v>393</v>
      </c>
    </row>
    <row r="393" spans="3:12" x14ac:dyDescent="0.25">
      <c r="C393" s="171" t="s">
        <v>58</v>
      </c>
      <c r="D393" s="163"/>
      <c r="E393" s="154">
        <v>0</v>
      </c>
      <c r="F393" s="100">
        <f>IF(E392=0,"",(G392/E392)/12*E392)</f>
        <v>0</v>
      </c>
      <c r="G393" s="97">
        <f>F393</f>
        <v>0</v>
      </c>
      <c r="H393" s="164"/>
      <c r="I393" s="116" t="s">
        <v>514</v>
      </c>
      <c r="J393" s="116" t="str">
        <f>VLOOKUP(I393,Presupuesto!$B$11:$C$565,2,0)</f>
        <v>AGUINALDO Y DECIMO CUARTO MES</v>
      </c>
      <c r="K393" s="98" t="str">
        <f t="shared" si="15"/>
        <v>Posgrado</v>
      </c>
      <c r="L393" s="98" t="s">
        <v>393</v>
      </c>
    </row>
    <row r="394" spans="3:12" ht="15.75" thickBot="1" x14ac:dyDescent="0.3">
      <c r="C394" s="172" t="s">
        <v>59</v>
      </c>
      <c r="D394" s="163"/>
      <c r="E394" s="154">
        <v>0</v>
      </c>
      <c r="F394" s="117">
        <f>IF(E392&lt;6,"",((E392-6)/12)*(G392/E392))</f>
        <v>0</v>
      </c>
      <c r="G394" s="97">
        <f>F394</f>
        <v>0</v>
      </c>
      <c r="H394" s="164"/>
      <c r="I394" s="101" t="s">
        <v>517</v>
      </c>
      <c r="J394" s="101" t="str">
        <f>VLOOKUP(I394,Presupuesto!$B$11:$C$565,2,0)</f>
        <v>DECIMOCUARTO MES</v>
      </c>
      <c r="K394" s="98" t="str">
        <f t="shared" si="15"/>
        <v>Posgrado</v>
      </c>
      <c r="L394" s="98" t="s">
        <v>393</v>
      </c>
    </row>
    <row r="395" spans="3:12" ht="15.75" thickBot="1" x14ac:dyDescent="0.3">
      <c r="C395" s="137" t="s">
        <v>486</v>
      </c>
      <c r="D395" s="199"/>
      <c r="E395" s="152">
        <v>12</v>
      </c>
      <c r="F395" s="303">
        <f>HLOOKUP($C395,$BZ$2:$CM$3,2,0)</f>
        <v>18859.39</v>
      </c>
      <c r="G395" s="113">
        <f>D395*E395*F395</f>
        <v>0</v>
      </c>
      <c r="H395" s="166"/>
      <c r="I395" s="114" t="s">
        <v>494</v>
      </c>
      <c r="J395" s="114" t="str">
        <f>VLOOKUP(I395,Presupuesto!$B$11:$C$565,2,0)</f>
        <v>SUELDOS Y SALARIOS PERMANENTES</v>
      </c>
      <c r="K395" s="98" t="str">
        <f t="shared" si="15"/>
        <v>Posgrado</v>
      </c>
      <c r="L395" s="98" t="s">
        <v>393</v>
      </c>
    </row>
    <row r="396" spans="3:12" x14ac:dyDescent="0.25">
      <c r="C396" s="171" t="s">
        <v>58</v>
      </c>
      <c r="D396" s="163"/>
      <c r="E396" s="154">
        <v>0</v>
      </c>
      <c r="F396" s="100">
        <f>IF(E395=0,"",(G395/E395)/12*E395)</f>
        <v>0</v>
      </c>
      <c r="G396" s="97">
        <f>F396</f>
        <v>0</v>
      </c>
      <c r="H396" s="164"/>
      <c r="I396" s="116" t="s">
        <v>514</v>
      </c>
      <c r="J396" s="116" t="str">
        <f>VLOOKUP(I396,Presupuesto!$B$11:$C$565,2,0)</f>
        <v>AGUINALDO Y DECIMO CUARTO MES</v>
      </c>
      <c r="K396" s="98" t="str">
        <f t="shared" si="15"/>
        <v>Posgrado</v>
      </c>
      <c r="L396" s="98" t="s">
        <v>393</v>
      </c>
    </row>
    <row r="397" spans="3:12" ht="15.75" thickBot="1" x14ac:dyDescent="0.3">
      <c r="C397" s="172" t="s">
        <v>59</v>
      </c>
      <c r="D397" s="163"/>
      <c r="E397" s="154">
        <v>0</v>
      </c>
      <c r="F397" s="117">
        <f>IF(E395&lt;6,"",((E395-6)/12)*(G395/E395))</f>
        <v>0</v>
      </c>
      <c r="G397" s="97">
        <f>F397</f>
        <v>0</v>
      </c>
      <c r="H397" s="164"/>
      <c r="I397" s="101" t="s">
        <v>517</v>
      </c>
      <c r="J397" s="101" t="str">
        <f>VLOOKUP(I397,Presupuesto!$B$11:$C$565,2,0)</f>
        <v>DECIMOCUARTO MES</v>
      </c>
      <c r="K397" s="98" t="str">
        <f t="shared" si="15"/>
        <v>Posgrado</v>
      </c>
      <c r="L397" s="98" t="s">
        <v>393</v>
      </c>
    </row>
    <row r="398" spans="3:12" ht="15.75" thickBot="1" x14ac:dyDescent="0.3">
      <c r="C398" s="137" t="s">
        <v>487</v>
      </c>
      <c r="D398" s="199"/>
      <c r="E398" s="152">
        <v>12</v>
      </c>
      <c r="F398" s="303">
        <f>HLOOKUP($C398,$BZ$2:$CM$3,2,0)</f>
        <v>17866.8</v>
      </c>
      <c r="G398" s="113">
        <f>D398*E398*F398</f>
        <v>0</v>
      </c>
      <c r="H398" s="166"/>
      <c r="I398" s="114" t="s">
        <v>494</v>
      </c>
      <c r="J398" s="114" t="str">
        <f>VLOOKUP(I398,Presupuesto!$B$11:$C$565,2,0)</f>
        <v>SUELDOS Y SALARIOS PERMANENTES</v>
      </c>
      <c r="K398" s="98" t="str">
        <f t="shared" si="15"/>
        <v>Posgrado</v>
      </c>
      <c r="L398" s="98" t="s">
        <v>393</v>
      </c>
    </row>
    <row r="399" spans="3:12" x14ac:dyDescent="0.25">
      <c r="C399" s="171" t="s">
        <v>58</v>
      </c>
      <c r="D399" s="163"/>
      <c r="E399" s="154">
        <v>0</v>
      </c>
      <c r="F399" s="100">
        <f>IF(E398=0,"",(G398/E398)/12*E398)</f>
        <v>0</v>
      </c>
      <c r="G399" s="97">
        <f>F399</f>
        <v>0</v>
      </c>
      <c r="H399" s="164"/>
      <c r="I399" s="116" t="s">
        <v>514</v>
      </c>
      <c r="J399" s="116" t="str">
        <f>VLOOKUP(I399,Presupuesto!$B$11:$C$565,2,0)</f>
        <v>AGUINALDO Y DECIMO CUARTO MES</v>
      </c>
      <c r="K399" s="98" t="str">
        <f t="shared" si="15"/>
        <v>Posgrado</v>
      </c>
      <c r="L399" s="98" t="s">
        <v>393</v>
      </c>
    </row>
    <row r="400" spans="3:12" ht="15.75" thickBot="1" x14ac:dyDescent="0.3">
      <c r="C400" s="172" t="s">
        <v>59</v>
      </c>
      <c r="D400" s="163"/>
      <c r="E400" s="154">
        <v>0</v>
      </c>
      <c r="F400" s="117">
        <f>IF(E398&lt;6,"",((E398-6)/12)*(G398/E398))</f>
        <v>0</v>
      </c>
      <c r="G400" s="97">
        <f>F400</f>
        <v>0</v>
      </c>
      <c r="H400" s="164"/>
      <c r="I400" s="101" t="s">
        <v>517</v>
      </c>
      <c r="J400" s="101" t="str">
        <f>VLOOKUP(I400,Presupuesto!$B$11:$C$565,2,0)</f>
        <v>DECIMOCUARTO MES</v>
      </c>
      <c r="K400" s="98" t="str">
        <f t="shared" si="15"/>
        <v>Posgrado</v>
      </c>
      <c r="L400" s="98" t="s">
        <v>393</v>
      </c>
    </row>
    <row r="401" spans="3:12" ht="15.75" thickBot="1" x14ac:dyDescent="0.3">
      <c r="C401" s="137" t="s">
        <v>488</v>
      </c>
      <c r="D401" s="199"/>
      <c r="E401" s="152">
        <v>12</v>
      </c>
      <c r="F401" s="303">
        <f>HLOOKUP($C401,$BZ$2:$CM$3,2,0)</f>
        <v>13896.4</v>
      </c>
      <c r="G401" s="113">
        <f>D401*E401*F401</f>
        <v>0</v>
      </c>
      <c r="H401" s="166"/>
      <c r="I401" s="114" t="s">
        <v>494</v>
      </c>
      <c r="J401" s="114" t="str">
        <f>VLOOKUP(I401,Presupuesto!$B$11:$C$565,2,0)</f>
        <v>SUELDOS Y SALARIOS PERMANENTES</v>
      </c>
      <c r="K401" s="98" t="str">
        <f t="shared" si="15"/>
        <v>Posgrado</v>
      </c>
      <c r="L401" s="98" t="s">
        <v>393</v>
      </c>
    </row>
    <row r="402" spans="3:12" x14ac:dyDescent="0.25">
      <c r="C402" s="171" t="s">
        <v>58</v>
      </c>
      <c r="D402" s="163"/>
      <c r="E402" s="154">
        <v>0</v>
      </c>
      <c r="F402" s="100">
        <f>IF(E401=0,"",(G401/E401)/12*E401)</f>
        <v>0</v>
      </c>
      <c r="G402" s="97">
        <f>F402</f>
        <v>0</v>
      </c>
      <c r="H402" s="164"/>
      <c r="I402" s="116" t="s">
        <v>514</v>
      </c>
      <c r="J402" s="116" t="str">
        <f>VLOOKUP(I402,Presupuesto!$B$11:$C$565,2,0)</f>
        <v>AGUINALDO Y DECIMO CUARTO MES</v>
      </c>
      <c r="K402" s="98" t="str">
        <f t="shared" si="15"/>
        <v>Posgrado</v>
      </c>
      <c r="L402" s="98" t="s">
        <v>393</v>
      </c>
    </row>
    <row r="403" spans="3:12" ht="15.75" thickBot="1" x14ac:dyDescent="0.3">
      <c r="C403" s="172" t="s">
        <v>59</v>
      </c>
      <c r="D403" s="163"/>
      <c r="E403" s="154">
        <v>0</v>
      </c>
      <c r="F403" s="117">
        <f>IF(E401&lt;6,"",((E401-6)/12)*(G401/E401))</f>
        <v>0</v>
      </c>
      <c r="G403" s="97">
        <f>F403</f>
        <v>0</v>
      </c>
      <c r="H403" s="164"/>
      <c r="I403" s="101" t="s">
        <v>517</v>
      </c>
      <c r="J403" s="101" t="str">
        <f>VLOOKUP(I403,Presupuesto!$B$11:$C$565,2,0)</f>
        <v>DECIMOCUARTO MES</v>
      </c>
      <c r="K403" s="98" t="str">
        <f t="shared" si="15"/>
        <v>Posgrado</v>
      </c>
      <c r="L403" s="98" t="s">
        <v>393</v>
      </c>
    </row>
    <row r="404" spans="3:12" ht="15.75" thickBot="1" x14ac:dyDescent="0.3">
      <c r="C404" s="137" t="s">
        <v>489</v>
      </c>
      <c r="D404" s="199"/>
      <c r="E404" s="152">
        <v>12</v>
      </c>
      <c r="F404" s="303">
        <f>HLOOKUP($C404,$BZ$2:$CM$3,2,0)</f>
        <v>15004.09</v>
      </c>
      <c r="G404" s="113">
        <f>D404*E404*F404</f>
        <v>0</v>
      </c>
      <c r="H404" s="166"/>
      <c r="I404" s="114" t="s">
        <v>494</v>
      </c>
      <c r="J404" s="114" t="str">
        <f>VLOOKUP(I404,Presupuesto!$B$11:$C$565,2,0)</f>
        <v>SUELDOS Y SALARIOS PERMANENTES</v>
      </c>
      <c r="K404" s="98" t="str">
        <f t="shared" si="15"/>
        <v>Posgrado</v>
      </c>
      <c r="L404" s="98" t="s">
        <v>393</v>
      </c>
    </row>
    <row r="405" spans="3:12" x14ac:dyDescent="0.25">
      <c r="C405" s="171" t="s">
        <v>58</v>
      </c>
      <c r="D405" s="163"/>
      <c r="E405" s="154">
        <v>0</v>
      </c>
      <c r="F405" s="100">
        <f>IF(E404=0,"",(G404/E404)/12*E404)</f>
        <v>0</v>
      </c>
      <c r="G405" s="97">
        <f>F405</f>
        <v>0</v>
      </c>
      <c r="H405" s="164"/>
      <c r="I405" s="116" t="s">
        <v>514</v>
      </c>
      <c r="J405" s="116" t="str">
        <f>VLOOKUP(I405,Presupuesto!$B$11:$C$565,2,0)</f>
        <v>AGUINALDO Y DECIMO CUARTO MES</v>
      </c>
      <c r="K405" s="98" t="str">
        <f t="shared" si="15"/>
        <v>Posgrado</v>
      </c>
      <c r="L405" s="98" t="s">
        <v>393</v>
      </c>
    </row>
    <row r="406" spans="3:12" ht="15.75" thickBot="1" x14ac:dyDescent="0.3">
      <c r="C406" s="172" t="s">
        <v>59</v>
      </c>
      <c r="D406" s="163"/>
      <c r="E406" s="154">
        <v>0</v>
      </c>
      <c r="F406" s="117">
        <f>IF(E404&lt;6,"",((E404-6)/12)*(G404/E404))</f>
        <v>0</v>
      </c>
      <c r="G406" s="97">
        <f>F406</f>
        <v>0</v>
      </c>
      <c r="H406" s="164"/>
      <c r="I406" s="101" t="s">
        <v>517</v>
      </c>
      <c r="J406" s="101" t="str">
        <f>VLOOKUP(I406,Presupuesto!$B$11:$C$565,2,0)</f>
        <v>DECIMOCUARTO MES</v>
      </c>
      <c r="K406" s="98" t="str">
        <f t="shared" si="15"/>
        <v>Posgrado</v>
      </c>
      <c r="L406" s="98" t="s">
        <v>393</v>
      </c>
    </row>
    <row r="407" spans="3:12" ht="15.75" thickBot="1" x14ac:dyDescent="0.3">
      <c r="C407" s="137" t="s">
        <v>490</v>
      </c>
      <c r="D407" s="199"/>
      <c r="E407" s="152">
        <v>12</v>
      </c>
      <c r="F407" s="303">
        <f>HLOOKUP($C407,$BZ$2:$CM$3,2,0)</f>
        <v>13238.9</v>
      </c>
      <c r="G407" s="113">
        <f>D407*E407*F407</f>
        <v>0</v>
      </c>
      <c r="H407" s="166"/>
      <c r="I407" s="114" t="s">
        <v>494</v>
      </c>
      <c r="J407" s="114" t="str">
        <f>VLOOKUP(I407,Presupuesto!$B$11:$C$565,2,0)</f>
        <v>SUELDOS Y SALARIOS PERMANENTES</v>
      </c>
      <c r="K407" s="98" t="str">
        <f t="shared" si="15"/>
        <v>Posgrado</v>
      </c>
      <c r="L407" s="98" t="s">
        <v>393</v>
      </c>
    </row>
    <row r="408" spans="3:12" x14ac:dyDescent="0.25">
      <c r="C408" s="171" t="s">
        <v>58</v>
      </c>
      <c r="D408" s="163"/>
      <c r="E408" s="154">
        <v>0</v>
      </c>
      <c r="F408" s="100">
        <f>IF(E407=0,"",(G407/E407)/12*E407)</f>
        <v>0</v>
      </c>
      <c r="G408" s="97">
        <f>F408</f>
        <v>0</v>
      </c>
      <c r="H408" s="164"/>
      <c r="I408" s="116" t="s">
        <v>514</v>
      </c>
      <c r="J408" s="116" t="str">
        <f>VLOOKUP(I408,Presupuesto!$B$11:$C$565,2,0)</f>
        <v>AGUINALDO Y DECIMO CUARTO MES</v>
      </c>
      <c r="K408" s="98" t="str">
        <f t="shared" si="15"/>
        <v>Posgrado</v>
      </c>
      <c r="L408" s="98" t="s">
        <v>393</v>
      </c>
    </row>
    <row r="409" spans="3:12" ht="15.75" thickBot="1" x14ac:dyDescent="0.3">
      <c r="C409" s="172" t="s">
        <v>59</v>
      </c>
      <c r="D409" s="163"/>
      <c r="E409" s="154">
        <v>0</v>
      </c>
      <c r="F409" s="117">
        <f>IF(E407&lt;6,"",((E407-6)/12)*(G407/E407))</f>
        <v>0</v>
      </c>
      <c r="G409" s="97">
        <f>F409</f>
        <v>0</v>
      </c>
      <c r="H409" s="164"/>
      <c r="I409" s="101" t="s">
        <v>517</v>
      </c>
      <c r="J409" s="101" t="str">
        <f>VLOOKUP(I409,Presupuesto!$B$11:$C$565,2,0)</f>
        <v>DECIMOCUARTO MES</v>
      </c>
      <c r="K409" s="98" t="str">
        <f t="shared" si="15"/>
        <v>Posgrado</v>
      </c>
      <c r="L409" s="98" t="s">
        <v>393</v>
      </c>
    </row>
    <row r="410" spans="3:12" ht="15.75" thickBot="1" x14ac:dyDescent="0.3">
      <c r="C410" s="137" t="s">
        <v>491</v>
      </c>
      <c r="D410" s="199"/>
      <c r="E410" s="152">
        <v>12</v>
      </c>
      <c r="F410" s="303">
        <f>HLOOKUP($C410,$BZ$2:$CM$3,2,0)</f>
        <v>12356.31</v>
      </c>
      <c r="G410" s="113">
        <f>D410*E410*F410</f>
        <v>0</v>
      </c>
      <c r="H410" s="166"/>
      <c r="I410" s="114" t="s">
        <v>494</v>
      </c>
      <c r="J410" s="114" t="str">
        <f>VLOOKUP(I410,Presupuesto!$B$11:$C$565,2,0)</f>
        <v>SUELDOS Y SALARIOS PERMANENTES</v>
      </c>
      <c r="K410" s="98" t="str">
        <f t="shared" ref="K410:K427" si="16">$K$377</f>
        <v>Posgrado</v>
      </c>
      <c r="L410" s="98" t="s">
        <v>393</v>
      </c>
    </row>
    <row r="411" spans="3:12" x14ac:dyDescent="0.25">
      <c r="C411" s="171" t="s">
        <v>58</v>
      </c>
      <c r="D411" s="163"/>
      <c r="E411" s="154">
        <v>0</v>
      </c>
      <c r="F411" s="100">
        <f>IF(E410=0,"",(G410/E410)/12*E410)</f>
        <v>0</v>
      </c>
      <c r="G411" s="97">
        <f>F411</f>
        <v>0</v>
      </c>
      <c r="H411" s="164"/>
      <c r="I411" s="116" t="s">
        <v>514</v>
      </c>
      <c r="J411" s="116" t="str">
        <f>VLOOKUP(I411,Presupuesto!$B$11:$C$565,2,0)</f>
        <v>AGUINALDO Y DECIMO CUARTO MES</v>
      </c>
      <c r="K411" s="98" t="str">
        <f t="shared" si="16"/>
        <v>Posgrado</v>
      </c>
      <c r="L411" s="98" t="s">
        <v>393</v>
      </c>
    </row>
    <row r="412" spans="3:12" ht="15.75" thickBot="1" x14ac:dyDescent="0.3">
      <c r="C412" s="172" t="s">
        <v>59</v>
      </c>
      <c r="D412" s="163"/>
      <c r="E412" s="154">
        <v>0</v>
      </c>
      <c r="F412" s="117">
        <f>IF(E410&lt;6,"",((E410-6)/12)*(G410/E410))</f>
        <v>0</v>
      </c>
      <c r="G412" s="97">
        <f>F412</f>
        <v>0</v>
      </c>
      <c r="H412" s="164"/>
      <c r="I412" s="101" t="s">
        <v>517</v>
      </c>
      <c r="J412" s="101" t="str">
        <f>VLOOKUP(I412,Presupuesto!$B$11:$C$565,2,0)</f>
        <v>DECIMOCUARTO MES</v>
      </c>
      <c r="K412" s="98" t="str">
        <f t="shared" si="16"/>
        <v>Posgrado</v>
      </c>
      <c r="L412" s="98" t="s">
        <v>393</v>
      </c>
    </row>
    <row r="413" spans="3:12" ht="15.75" thickBot="1" x14ac:dyDescent="0.3">
      <c r="C413" s="137" t="s">
        <v>492</v>
      </c>
      <c r="D413" s="199"/>
      <c r="E413" s="152">
        <v>12</v>
      </c>
      <c r="F413" s="303">
        <f>HLOOKUP($C413,$BZ$2:$CM$3,2,0)</f>
        <v>463.22</v>
      </c>
      <c r="G413" s="113">
        <f>D413*E413*F413</f>
        <v>0</v>
      </c>
      <c r="H413" s="166"/>
      <c r="I413" s="114" t="s">
        <v>494</v>
      </c>
      <c r="J413" s="114" t="str">
        <f>VLOOKUP(I413,Presupuesto!$B$11:$C$565,2,0)</f>
        <v>SUELDOS Y SALARIOS PERMANENTES</v>
      </c>
      <c r="K413" s="98" t="str">
        <f t="shared" si="16"/>
        <v>Posgrado</v>
      </c>
      <c r="L413" s="98" t="s">
        <v>393</v>
      </c>
    </row>
    <row r="414" spans="3:12" x14ac:dyDescent="0.25">
      <c r="C414" s="171" t="s">
        <v>58</v>
      </c>
      <c r="D414" s="163"/>
      <c r="E414" s="154">
        <v>0</v>
      </c>
      <c r="F414" s="100">
        <f>IF(E413=0,"",(G413/E413)/12*E413)</f>
        <v>0</v>
      </c>
      <c r="G414" s="97">
        <f>F414</f>
        <v>0</v>
      </c>
      <c r="H414" s="164"/>
      <c r="I414" s="116" t="s">
        <v>514</v>
      </c>
      <c r="J414" s="116" t="str">
        <f>VLOOKUP(I414,Presupuesto!$B$11:$C$565,2,0)</f>
        <v>AGUINALDO Y DECIMO CUARTO MES</v>
      </c>
      <c r="K414" s="98" t="str">
        <f t="shared" si="16"/>
        <v>Posgrado</v>
      </c>
      <c r="L414" s="98" t="s">
        <v>393</v>
      </c>
    </row>
    <row r="415" spans="3:12" ht="15.75" thickBot="1" x14ac:dyDescent="0.3">
      <c r="C415" s="172" t="s">
        <v>59</v>
      </c>
      <c r="D415" s="163"/>
      <c r="E415" s="154">
        <v>0</v>
      </c>
      <c r="F415" s="117">
        <f>IF(E413&lt;6,"",((E413-6)/12)*(G413/E413))</f>
        <v>0</v>
      </c>
      <c r="G415" s="97">
        <f>F415</f>
        <v>0</v>
      </c>
      <c r="H415" s="164"/>
      <c r="I415" s="101" t="s">
        <v>517</v>
      </c>
      <c r="J415" s="101" t="str">
        <f>VLOOKUP(I415,Presupuesto!$B$11:$C$565,2,0)</f>
        <v>DECIMOCUARTO MES</v>
      </c>
      <c r="K415" s="98" t="str">
        <f t="shared" si="16"/>
        <v>Posgrado</v>
      </c>
      <c r="L415" s="98" t="s">
        <v>393</v>
      </c>
    </row>
    <row r="416" spans="3:12" ht="15.75" thickBot="1" x14ac:dyDescent="0.3">
      <c r="C416" s="137" t="s">
        <v>493</v>
      </c>
      <c r="D416" s="199"/>
      <c r="E416" s="152">
        <v>12</v>
      </c>
      <c r="F416" s="303">
        <f>HLOOKUP($C416,$BZ$2:$CM$3,2,0)</f>
        <v>2007.3</v>
      </c>
      <c r="G416" s="113">
        <f>D416*E416*F416</f>
        <v>0</v>
      </c>
      <c r="H416" s="166"/>
      <c r="I416" s="114" t="s">
        <v>494</v>
      </c>
      <c r="J416" s="114" t="str">
        <f>VLOOKUP(I416,Presupuesto!$B$11:$C$565,2,0)</f>
        <v>SUELDOS Y SALARIOS PERMANENTES</v>
      </c>
      <c r="K416" s="98" t="str">
        <f t="shared" si="16"/>
        <v>Posgrado</v>
      </c>
      <c r="L416" s="98" t="s">
        <v>393</v>
      </c>
    </row>
    <row r="417" spans="3:12" x14ac:dyDescent="0.25">
      <c r="C417" s="171" t="s">
        <v>58</v>
      </c>
      <c r="D417" s="163"/>
      <c r="E417" s="154">
        <v>0</v>
      </c>
      <c r="F417" s="100">
        <f>IF(E416=0,"",(G416/E416)/12*E416)</f>
        <v>0</v>
      </c>
      <c r="G417" s="97">
        <f>F417</f>
        <v>0</v>
      </c>
      <c r="H417" s="164"/>
      <c r="I417" s="116" t="s">
        <v>514</v>
      </c>
      <c r="J417" s="116" t="str">
        <f>VLOOKUP(I417,Presupuesto!$B$11:$C$565,2,0)</f>
        <v>AGUINALDO Y DECIMO CUARTO MES</v>
      </c>
      <c r="K417" s="98" t="str">
        <f t="shared" si="16"/>
        <v>Posgrado</v>
      </c>
      <c r="L417" s="98" t="s">
        <v>393</v>
      </c>
    </row>
    <row r="418" spans="3:12" ht="15.75" thickBot="1" x14ac:dyDescent="0.3">
      <c r="C418" s="172" t="s">
        <v>59</v>
      </c>
      <c r="D418" s="163"/>
      <c r="E418" s="154">
        <v>0</v>
      </c>
      <c r="F418" s="117">
        <f>IF(E416&lt;6,"",((E416-6)/12)*(G416/E416))</f>
        <v>0</v>
      </c>
      <c r="G418" s="97">
        <f>F418</f>
        <v>0</v>
      </c>
      <c r="H418" s="164"/>
      <c r="I418" s="101" t="s">
        <v>517</v>
      </c>
      <c r="J418" s="101" t="str">
        <f>VLOOKUP(I418,Presupuesto!$B$11:$C$565,2,0)</f>
        <v>DECIMOCUARTO MES</v>
      </c>
      <c r="K418" s="98" t="str">
        <f t="shared" si="16"/>
        <v>Posgrado</v>
      </c>
      <c r="L418" s="98" t="s">
        <v>393</v>
      </c>
    </row>
    <row r="419" spans="3:12" ht="15.75" thickBot="1" x14ac:dyDescent="0.3">
      <c r="C419" s="140" t="s">
        <v>83</v>
      </c>
      <c r="D419" s="199"/>
      <c r="E419" s="152">
        <v>12</v>
      </c>
      <c r="F419" s="139">
        <v>30000</v>
      </c>
      <c r="G419" s="113">
        <f>D419*E419*F419</f>
        <v>0</v>
      </c>
      <c r="H419" s="166"/>
      <c r="I419" s="114" t="s">
        <v>562</v>
      </c>
      <c r="J419" s="114" t="str">
        <f>VLOOKUP(I419,Presupuesto!$B$11:$C$565,2,0)</f>
        <v>CONTRATOS ESPECIALES</v>
      </c>
      <c r="K419" s="98" t="str">
        <f t="shared" si="16"/>
        <v>Posgrado</v>
      </c>
      <c r="L419" s="98" t="s">
        <v>393</v>
      </c>
    </row>
    <row r="420" spans="3:12" x14ac:dyDescent="0.25">
      <c r="C420" s="171" t="s">
        <v>58</v>
      </c>
      <c r="D420" s="163"/>
      <c r="E420" s="154">
        <v>0</v>
      </c>
      <c r="F420" s="117">
        <f>IF(E419=0,"",(G419/E419)/12*E419)</f>
        <v>0</v>
      </c>
      <c r="G420" s="97">
        <f>F420</f>
        <v>0</v>
      </c>
      <c r="H420" s="164"/>
      <c r="I420" s="101" t="s">
        <v>562</v>
      </c>
      <c r="J420" s="101" t="str">
        <f>VLOOKUP(I420,Presupuesto!$B$11:$C$565,2,0)</f>
        <v>CONTRATOS ESPECIALES</v>
      </c>
      <c r="K420" s="98" t="str">
        <f t="shared" si="16"/>
        <v>Posgrado</v>
      </c>
      <c r="L420" s="98" t="s">
        <v>392</v>
      </c>
    </row>
    <row r="421" spans="3:12" ht="15.75" thickBot="1" x14ac:dyDescent="0.3">
      <c r="C421" s="172" t="s">
        <v>59</v>
      </c>
      <c r="D421" s="163"/>
      <c r="E421" s="154">
        <v>0</v>
      </c>
      <c r="F421" s="100">
        <f>IF(E419&lt;6,"",((E419-6)/12)*(G419/E419))</f>
        <v>0</v>
      </c>
      <c r="G421" s="97">
        <f>F421</f>
        <v>0</v>
      </c>
      <c r="H421" s="164"/>
      <c r="I421" s="101" t="s">
        <v>562</v>
      </c>
      <c r="J421" s="101" t="str">
        <f>VLOOKUP(I421,Presupuesto!$B$11:$C$565,2,0)</f>
        <v>CONTRATOS ESPECIALES</v>
      </c>
      <c r="K421" s="98" t="str">
        <f t="shared" si="16"/>
        <v>Posgrado</v>
      </c>
      <c r="L421" s="98" t="s">
        <v>397</v>
      </c>
    </row>
    <row r="422" spans="3:12" ht="15.75" thickBot="1" x14ac:dyDescent="0.3">
      <c r="C422" s="140" t="s">
        <v>60</v>
      </c>
      <c r="D422" s="199"/>
      <c r="E422" s="152">
        <v>12</v>
      </c>
      <c r="F422" s="118">
        <v>30000</v>
      </c>
      <c r="G422" s="113">
        <f>D422*E422*F422</f>
        <v>0</v>
      </c>
      <c r="H422" s="166"/>
      <c r="I422" s="114" t="s">
        <v>703</v>
      </c>
      <c r="J422" s="114" t="str">
        <f>VLOOKUP(I422,Presupuesto!$B$11:$C$565,2,0)</f>
        <v>OTROS SERVICIOS TECNICOS Y PROFESIONALES</v>
      </c>
      <c r="K422" s="98" t="str">
        <f t="shared" si="16"/>
        <v>Posgrado</v>
      </c>
      <c r="L422" s="98" t="s">
        <v>392</v>
      </c>
    </row>
    <row r="423" spans="3:12" x14ac:dyDescent="0.25">
      <c r="C423" s="171" t="s">
        <v>58</v>
      </c>
      <c r="D423" s="163"/>
      <c r="E423" s="154">
        <v>0</v>
      </c>
      <c r="F423" s="100">
        <v>0</v>
      </c>
      <c r="G423" s="97">
        <f>F423</f>
        <v>0</v>
      </c>
      <c r="H423" s="164"/>
      <c r="I423" s="101" t="s">
        <v>703</v>
      </c>
      <c r="J423" s="101" t="str">
        <f>VLOOKUP(I423,Presupuesto!$B$11:$C$565,2,0)</f>
        <v>OTROS SERVICIOS TECNICOS Y PROFESIONALES</v>
      </c>
      <c r="K423" s="98" t="str">
        <f t="shared" si="16"/>
        <v>Posgrado</v>
      </c>
      <c r="L423" s="98" t="s">
        <v>392</v>
      </c>
    </row>
    <row r="424" spans="3:12" ht="15.75" thickBot="1" x14ac:dyDescent="0.3">
      <c r="C424" s="172" t="s">
        <v>59</v>
      </c>
      <c r="D424" s="163"/>
      <c r="E424" s="154">
        <v>0</v>
      </c>
      <c r="F424" s="100">
        <v>0</v>
      </c>
      <c r="G424" s="97">
        <f>F424</f>
        <v>0</v>
      </c>
      <c r="H424" s="164"/>
      <c r="I424" s="101" t="s">
        <v>703</v>
      </c>
      <c r="J424" s="101" t="str">
        <f>VLOOKUP(I424,Presupuesto!$B$11:$C$565,2,0)</f>
        <v>OTROS SERVICIOS TECNICOS Y PROFESIONALES</v>
      </c>
      <c r="K424" s="98" t="str">
        <f t="shared" si="16"/>
        <v>Posgrado</v>
      </c>
      <c r="L424" s="98" t="s">
        <v>392</v>
      </c>
    </row>
    <row r="425" spans="3:12" ht="15.75" thickBot="1" x14ac:dyDescent="0.3">
      <c r="C425" s="140" t="s">
        <v>61</v>
      </c>
      <c r="D425" s="199"/>
      <c r="E425" s="152">
        <v>12</v>
      </c>
      <c r="F425" s="118">
        <v>30000</v>
      </c>
      <c r="G425" s="113">
        <f>D425*E425*F425</f>
        <v>0</v>
      </c>
      <c r="H425" s="166"/>
      <c r="I425" s="114" t="s">
        <v>494</v>
      </c>
      <c r="J425" s="114" t="str">
        <f>VLOOKUP(I425,Presupuesto!$B$11:$C$565,2,0)</f>
        <v>SUELDOS Y SALARIOS PERMANENTES</v>
      </c>
      <c r="K425" s="98" t="str">
        <f t="shared" si="16"/>
        <v>Posgrado</v>
      </c>
      <c r="L425" s="98" t="s">
        <v>392</v>
      </c>
    </row>
    <row r="426" spans="3:12" x14ac:dyDescent="0.25">
      <c r="C426" s="171" t="s">
        <v>58</v>
      </c>
      <c r="D426" s="169"/>
      <c r="E426" s="131">
        <v>0</v>
      </c>
      <c r="F426" s="119">
        <f>IF(E425=0,"",(G425/E425)/12*E425)</f>
        <v>0</v>
      </c>
      <c r="G426" s="120">
        <f>F426</f>
        <v>0</v>
      </c>
      <c r="H426" s="164"/>
      <c r="I426" s="101" t="s">
        <v>514</v>
      </c>
      <c r="J426" s="101" t="str">
        <f>VLOOKUP(I426,Presupuesto!$B$11:$C$565,2,0)</f>
        <v>AGUINALDO Y DECIMO CUARTO MES</v>
      </c>
      <c r="K426" s="98" t="str">
        <f t="shared" si="16"/>
        <v>Posgrado</v>
      </c>
      <c r="L426" s="98" t="s">
        <v>392</v>
      </c>
    </row>
    <row r="427" spans="3:12" ht="15.75" thickBot="1" x14ac:dyDescent="0.3">
      <c r="C427" s="173" t="s">
        <v>59</v>
      </c>
      <c r="D427" s="162"/>
      <c r="E427" s="132">
        <v>0</v>
      </c>
      <c r="F427" s="105">
        <f>IF(E425&lt;6,"",((E425-6)/12)*(G425/E425))</f>
        <v>0</v>
      </c>
      <c r="G427" s="105">
        <f>F427</f>
        <v>0</v>
      </c>
      <c r="H427" s="162"/>
      <c r="I427" s="106" t="s">
        <v>517</v>
      </c>
      <c r="J427" s="124" t="str">
        <f>VLOOKUP(I427,Presupuesto!$B$11:$C$565,2,0)</f>
        <v>DECIMOCUARTO MES</v>
      </c>
      <c r="K427" s="106" t="str">
        <f t="shared" si="16"/>
        <v>Posgrado</v>
      </c>
      <c r="L427" s="124" t="s">
        <v>392</v>
      </c>
    </row>
    <row r="429" spans="3:12" ht="15.75" thickBot="1" x14ac:dyDescent="0.3">
      <c r="K429" s="153"/>
    </row>
    <row r="430" spans="3:12" ht="15.75" thickBot="1" x14ac:dyDescent="0.3">
      <c r="C430" s="69" t="s">
        <v>43</v>
      </c>
      <c r="D430" s="30">
        <f>SUM(G437:G487)</f>
        <v>0</v>
      </c>
      <c r="E430" s="93"/>
      <c r="F430" s="93"/>
      <c r="G430" s="93"/>
      <c r="H430" s="76"/>
      <c r="I430" s="76"/>
      <c r="J430" s="76"/>
      <c r="K430" s="153"/>
    </row>
    <row r="431" spans="3:12" x14ac:dyDescent="0.25">
      <c r="D431" s="31"/>
      <c r="E431" s="93"/>
      <c r="F431" s="93"/>
      <c r="G431" s="93"/>
      <c r="H431" s="76"/>
      <c r="I431" s="76"/>
      <c r="J431" s="76"/>
      <c r="K431" s="153"/>
    </row>
    <row r="432" spans="3:12" x14ac:dyDescent="0.25">
      <c r="D432" s="31"/>
      <c r="E432" s="93"/>
      <c r="F432" s="93"/>
      <c r="G432" s="93"/>
      <c r="H432" s="76"/>
      <c r="I432" s="76"/>
      <c r="J432" s="76"/>
      <c r="K432" s="153"/>
    </row>
    <row r="433" spans="3:12" ht="15.75" x14ac:dyDescent="0.25">
      <c r="C433" s="202" t="s">
        <v>390</v>
      </c>
      <c r="D433" s="368"/>
      <c r="E433" s="93"/>
      <c r="F433" s="93"/>
      <c r="G433" s="93"/>
      <c r="H433" s="76"/>
      <c r="I433" s="76"/>
      <c r="J433" s="76"/>
      <c r="K433" s="153"/>
    </row>
    <row r="434" spans="3:12" ht="18.75" x14ac:dyDescent="0.25">
      <c r="C434" s="210" t="e">
        <f>IFERROR(VLOOKUP(D433,'1. Desarrollo e Innov. Curricu.'!$F:$G,2,FALSE),IFERROR(VLOOKUP(D433,'2. Investigación Científica'!$F:$G,2,FALSE),IFERROR(VLOOKUP(D433,'3. Vinculación Univ. Sociedad'!$F:$G,2,FALSE),IFERROR(VLOOKUP(D433,'4. Docencia y Profesorado Univ.'!$F:$G,2,FALSE),IFERROR(VLOOKUP(D433,'5. Estudiantes y Graduados'!$F:$G,2,FALSE),IFERROR(VLOOKUP(D433,'11. Gestion Administrativa'!$F:$G,2,FALSE),IFERROR(VLOOKUP(D433,'13. Gestión Académica'!$F:$G,2,FALSE),IFERROR(VLOOKUP(D433,'9. Asegura. de la Calid. y M'!$F:$G,2,FALSE),IFERROR(VLOOKUP(D433,'6. Gestión del Conocimiento'!$F:$G,2,FALSE),IFERROR(VLOOKUP(D433,'15. Gobernabilidad y Proceso...'!$G:$H,2,FALSE),IFERROR(VLOOKUP(D433,'12. Gestión del Talento Humano'!$F:$G,2,FALSE),IFERROR(VLOOKUP(D433,'14. Internacional... de la E.S.'!$F:$G,2,FALSE),IFERROR(VLOOKUP(D433,'10. Posgrado'!$F:$G,2,FALSE),IFERROR(VLOOKUP(D433,'17. Gestión TIC'!$F:$G,2,FALSE),IFERROR(VLOOKUP(D433,'16. Desa. del Sistema Educ.Sup.'!$F:$G,2,FALSE),IFERROR(VLOOKUP(D433,'8. Cultura de Inno. Insti...'!$F:$G,2,FALSE),VLOOKUP(D433,'7. Lo Esencial de la Reforma U.'!$G:$H,2,0)))))))))))))))))</f>
        <v>#N/A</v>
      </c>
      <c r="D434" s="31"/>
      <c r="E434" s="93"/>
      <c r="F434" s="93"/>
      <c r="G434" s="93"/>
      <c r="H434" s="76"/>
      <c r="I434" s="76"/>
      <c r="J434" s="76"/>
      <c r="K434" s="153"/>
    </row>
    <row r="435" spans="3:12" ht="15.75" thickBot="1" x14ac:dyDescent="0.3">
      <c r="C435" s="177"/>
      <c r="D435" s="31"/>
      <c r="E435" s="93"/>
      <c r="F435" s="93"/>
      <c r="G435" s="93"/>
      <c r="H435" s="76"/>
      <c r="I435" s="76"/>
      <c r="J435" s="76"/>
      <c r="K435" s="153"/>
    </row>
    <row r="436" spans="3:12" ht="30.75" thickBot="1" x14ac:dyDescent="0.3">
      <c r="C436" s="134" t="s">
        <v>44</v>
      </c>
      <c r="D436" s="138" t="s">
        <v>55</v>
      </c>
      <c r="E436" s="170" t="s">
        <v>56</v>
      </c>
      <c r="F436" s="138" t="s">
        <v>57</v>
      </c>
      <c r="G436" s="135" t="s">
        <v>27</v>
      </c>
      <c r="H436" s="133" t="s">
        <v>129</v>
      </c>
      <c r="I436" s="136" t="s">
        <v>46</v>
      </c>
      <c r="J436" s="136" t="s">
        <v>130</v>
      </c>
      <c r="K436" s="136" t="s">
        <v>408</v>
      </c>
      <c r="L436" s="136" t="s">
        <v>409</v>
      </c>
    </row>
    <row r="437" spans="3:12" ht="15.75" thickBot="1" x14ac:dyDescent="0.3">
      <c r="C437" s="137" t="s">
        <v>480</v>
      </c>
      <c r="D437" s="199"/>
      <c r="E437" s="152">
        <v>12</v>
      </c>
      <c r="F437" s="303">
        <f>HLOOKUP($C437,$BZ$2:$CM$3,2,0)</f>
        <v>43674.39</v>
      </c>
      <c r="G437" s="113">
        <f>D437*E437*F437</f>
        <v>0</v>
      </c>
      <c r="H437" s="166"/>
      <c r="I437" s="114" t="s">
        <v>494</v>
      </c>
      <c r="J437" s="114" t="str">
        <f>VLOOKUP(I437,Presupuesto!$B$11:$C$565,2,0)</f>
        <v>SUELDOS Y SALARIOS PERMANENTES</v>
      </c>
      <c r="K437" s="218" t="s">
        <v>1443</v>
      </c>
      <c r="L437" s="98" t="s">
        <v>392</v>
      </c>
    </row>
    <row r="438" spans="3:12" x14ac:dyDescent="0.25">
      <c r="C438" s="171" t="s">
        <v>58</v>
      </c>
      <c r="D438" s="163"/>
      <c r="E438" s="154">
        <v>0</v>
      </c>
      <c r="F438" s="100">
        <f>IF(E437=0,"",(G437/E437)/12*E437)</f>
        <v>0</v>
      </c>
      <c r="G438" s="97">
        <f>F438</f>
        <v>0</v>
      </c>
      <c r="H438" s="164"/>
      <c r="I438" s="116" t="s">
        <v>514</v>
      </c>
      <c r="J438" s="116" t="str">
        <f>VLOOKUP(I438,Presupuesto!$B$11:$C$565,2,0)</f>
        <v>AGUINALDO Y DECIMO CUARTO MES</v>
      </c>
      <c r="K438" s="98" t="str">
        <f t="shared" ref="K438:K469" si="17">$K$437</f>
        <v>Posgrado</v>
      </c>
      <c r="L438" s="98" t="s">
        <v>410</v>
      </c>
    </row>
    <row r="439" spans="3:12" ht="15.75" thickBot="1" x14ac:dyDescent="0.3">
      <c r="C439" s="172" t="s">
        <v>59</v>
      </c>
      <c r="D439" s="163"/>
      <c r="E439" s="154">
        <v>0</v>
      </c>
      <c r="F439" s="117">
        <f>IF(E437&lt;6,"",((E437-6)/12)*(G437/E437))</f>
        <v>0</v>
      </c>
      <c r="G439" s="97">
        <f>F439</f>
        <v>0</v>
      </c>
      <c r="H439" s="164"/>
      <c r="I439" s="101" t="s">
        <v>517</v>
      </c>
      <c r="J439" s="101" t="str">
        <f>VLOOKUP(I439,Presupuesto!$B$11:$C$565,2,0)</f>
        <v>DECIMOCUARTO MES</v>
      </c>
      <c r="K439" s="98" t="str">
        <f t="shared" si="17"/>
        <v>Posgrado</v>
      </c>
      <c r="L439" s="98" t="s">
        <v>393</v>
      </c>
    </row>
    <row r="440" spans="3:12" ht="15.75" thickBot="1" x14ac:dyDescent="0.3">
      <c r="C440" s="137" t="s">
        <v>481</v>
      </c>
      <c r="D440" s="199"/>
      <c r="E440" s="152">
        <v>12</v>
      </c>
      <c r="F440" s="303">
        <f>HLOOKUP($C440,$BZ$2:$CM$3,2,0)</f>
        <v>39703.99</v>
      </c>
      <c r="G440" s="113">
        <f>D440*E440*F440</f>
        <v>0</v>
      </c>
      <c r="H440" s="166"/>
      <c r="I440" s="114" t="s">
        <v>494</v>
      </c>
      <c r="J440" s="114" t="str">
        <f>VLOOKUP(I440,Presupuesto!$B$11:$C$565,2,0)</f>
        <v>SUELDOS Y SALARIOS PERMANENTES</v>
      </c>
      <c r="K440" s="98" t="str">
        <f t="shared" si="17"/>
        <v>Posgrado</v>
      </c>
      <c r="L440" s="98" t="s">
        <v>393</v>
      </c>
    </row>
    <row r="441" spans="3:12" x14ac:dyDescent="0.25">
      <c r="C441" s="171" t="s">
        <v>58</v>
      </c>
      <c r="D441" s="163"/>
      <c r="E441" s="154">
        <v>0</v>
      </c>
      <c r="F441" s="100">
        <f>IF(E440=0,"",(G440/E440)/12*E440)</f>
        <v>0</v>
      </c>
      <c r="G441" s="97">
        <f>F441</f>
        <v>0</v>
      </c>
      <c r="H441" s="164"/>
      <c r="I441" s="116" t="s">
        <v>514</v>
      </c>
      <c r="J441" s="116" t="str">
        <f>VLOOKUP(I441,Presupuesto!$B$11:$C$565,2,0)</f>
        <v>AGUINALDO Y DECIMO CUARTO MES</v>
      </c>
      <c r="K441" s="98" t="str">
        <f t="shared" si="17"/>
        <v>Posgrado</v>
      </c>
      <c r="L441" s="98" t="s">
        <v>393</v>
      </c>
    </row>
    <row r="442" spans="3:12" ht="15.75" thickBot="1" x14ac:dyDescent="0.3">
      <c r="C442" s="172" t="s">
        <v>59</v>
      </c>
      <c r="D442" s="163"/>
      <c r="E442" s="154">
        <v>0</v>
      </c>
      <c r="F442" s="117">
        <f>IF(E440&lt;6,"",((E440-6)/12)*(G440/E440))</f>
        <v>0</v>
      </c>
      <c r="G442" s="97">
        <f>F442</f>
        <v>0</v>
      </c>
      <c r="H442" s="164"/>
      <c r="I442" s="101" t="s">
        <v>517</v>
      </c>
      <c r="J442" s="101" t="str">
        <f>VLOOKUP(I442,Presupuesto!$B$11:$C$565,2,0)</f>
        <v>DECIMOCUARTO MES</v>
      </c>
      <c r="K442" s="98" t="str">
        <f t="shared" si="17"/>
        <v>Posgrado</v>
      </c>
      <c r="L442" s="98" t="s">
        <v>393</v>
      </c>
    </row>
    <row r="443" spans="3:12" ht="15.75" thickBot="1" x14ac:dyDescent="0.3">
      <c r="C443" s="137" t="s">
        <v>482</v>
      </c>
      <c r="D443" s="199"/>
      <c r="E443" s="152">
        <v>12</v>
      </c>
      <c r="F443" s="303">
        <f>HLOOKUP($C443,$BZ$2:$CM$3,2,0)</f>
        <v>35733.589999999997</v>
      </c>
      <c r="G443" s="113">
        <f>D443*E443*F443</f>
        <v>0</v>
      </c>
      <c r="H443" s="166"/>
      <c r="I443" s="114" t="s">
        <v>494</v>
      </c>
      <c r="J443" s="114" t="str">
        <f>VLOOKUP(I443,Presupuesto!$B$11:$C$565,2,0)</f>
        <v>SUELDOS Y SALARIOS PERMANENTES</v>
      </c>
      <c r="K443" s="98" t="str">
        <f t="shared" si="17"/>
        <v>Posgrado</v>
      </c>
      <c r="L443" s="98" t="s">
        <v>393</v>
      </c>
    </row>
    <row r="444" spans="3:12" x14ac:dyDescent="0.25">
      <c r="C444" s="171" t="s">
        <v>58</v>
      </c>
      <c r="D444" s="163"/>
      <c r="E444" s="154">
        <v>0</v>
      </c>
      <c r="F444" s="100">
        <f>IF(E443=0,"",(G443/E443)/12*E443)</f>
        <v>0</v>
      </c>
      <c r="G444" s="97">
        <f>F444</f>
        <v>0</v>
      </c>
      <c r="H444" s="164"/>
      <c r="I444" s="116" t="s">
        <v>514</v>
      </c>
      <c r="J444" s="116" t="str">
        <f>VLOOKUP(I444,Presupuesto!$B$11:$C$565,2,0)</f>
        <v>AGUINALDO Y DECIMO CUARTO MES</v>
      </c>
      <c r="K444" s="98" t="str">
        <f t="shared" si="17"/>
        <v>Posgrado</v>
      </c>
      <c r="L444" s="98" t="s">
        <v>393</v>
      </c>
    </row>
    <row r="445" spans="3:12" ht="15.75" thickBot="1" x14ac:dyDescent="0.3">
      <c r="C445" s="172" t="s">
        <v>59</v>
      </c>
      <c r="D445" s="163"/>
      <c r="E445" s="154">
        <v>0</v>
      </c>
      <c r="F445" s="117">
        <f>IF(E443&lt;6,"",((E443-6)/12)*(G443/E443))</f>
        <v>0</v>
      </c>
      <c r="G445" s="97">
        <f>F445</f>
        <v>0</v>
      </c>
      <c r="H445" s="164"/>
      <c r="I445" s="101" t="s">
        <v>517</v>
      </c>
      <c r="J445" s="101" t="str">
        <f>VLOOKUP(I445,Presupuesto!$B$11:$C$565,2,0)</f>
        <v>DECIMOCUARTO MES</v>
      </c>
      <c r="K445" s="98" t="str">
        <f t="shared" si="17"/>
        <v>Posgrado</v>
      </c>
      <c r="L445" s="98" t="s">
        <v>393</v>
      </c>
    </row>
    <row r="446" spans="3:12" ht="15.75" thickBot="1" x14ac:dyDescent="0.3">
      <c r="C446" s="137" t="s">
        <v>483</v>
      </c>
      <c r="D446" s="199"/>
      <c r="E446" s="152">
        <v>12</v>
      </c>
      <c r="F446" s="303">
        <f>HLOOKUP($C446,$BZ$2:$CM$3,2,0)</f>
        <v>31763.19</v>
      </c>
      <c r="G446" s="113">
        <f>D446*E446*F446</f>
        <v>0</v>
      </c>
      <c r="H446" s="166"/>
      <c r="I446" s="114" t="s">
        <v>494</v>
      </c>
      <c r="J446" s="114" t="str">
        <f>VLOOKUP(I446,Presupuesto!$B$11:$C$565,2,0)</f>
        <v>SUELDOS Y SALARIOS PERMANENTES</v>
      </c>
      <c r="K446" s="98" t="str">
        <f t="shared" si="17"/>
        <v>Posgrado</v>
      </c>
      <c r="L446" s="98" t="s">
        <v>393</v>
      </c>
    </row>
    <row r="447" spans="3:12" x14ac:dyDescent="0.25">
      <c r="C447" s="171" t="s">
        <v>58</v>
      </c>
      <c r="D447" s="163"/>
      <c r="E447" s="154">
        <v>0</v>
      </c>
      <c r="F447" s="100">
        <f>IF(E446=0,"",(G446/E446)/12*E446)</f>
        <v>0</v>
      </c>
      <c r="G447" s="97">
        <f>F447</f>
        <v>0</v>
      </c>
      <c r="H447" s="164"/>
      <c r="I447" s="116" t="s">
        <v>514</v>
      </c>
      <c r="J447" s="116" t="str">
        <f>VLOOKUP(I447,Presupuesto!$B$11:$C$565,2,0)</f>
        <v>AGUINALDO Y DECIMO CUARTO MES</v>
      </c>
      <c r="K447" s="98" t="str">
        <f t="shared" si="17"/>
        <v>Posgrado</v>
      </c>
      <c r="L447" s="98" t="s">
        <v>393</v>
      </c>
    </row>
    <row r="448" spans="3:12" ht="15.75" thickBot="1" x14ac:dyDescent="0.3">
      <c r="C448" s="172" t="s">
        <v>59</v>
      </c>
      <c r="D448" s="163"/>
      <c r="E448" s="154">
        <v>0</v>
      </c>
      <c r="F448" s="117">
        <f>IF(E446&lt;6,"",((E446-6)/12)*(G446/E446))</f>
        <v>0</v>
      </c>
      <c r="G448" s="97">
        <f>F448</f>
        <v>0</v>
      </c>
      <c r="H448" s="164"/>
      <c r="I448" s="101" t="s">
        <v>517</v>
      </c>
      <c r="J448" s="101" t="str">
        <f>VLOOKUP(I448,Presupuesto!$B$11:$C$565,2,0)</f>
        <v>DECIMOCUARTO MES</v>
      </c>
      <c r="K448" s="98" t="str">
        <f t="shared" si="17"/>
        <v>Posgrado</v>
      </c>
      <c r="L448" s="98" t="s">
        <v>393</v>
      </c>
    </row>
    <row r="449" spans="3:12" ht="15.75" thickBot="1" x14ac:dyDescent="0.3">
      <c r="C449" s="137" t="s">
        <v>484</v>
      </c>
      <c r="D449" s="199"/>
      <c r="E449" s="152">
        <v>12</v>
      </c>
      <c r="F449" s="303">
        <f>HLOOKUP($C449,$BZ$2:$CM$3,2,0)</f>
        <v>29777.99</v>
      </c>
      <c r="G449" s="113">
        <f>D449*E449*F449</f>
        <v>0</v>
      </c>
      <c r="H449" s="166"/>
      <c r="I449" s="114" t="s">
        <v>494</v>
      </c>
      <c r="J449" s="114" t="str">
        <f>VLOOKUP(I449,Presupuesto!$B$11:$C$565,2,0)</f>
        <v>SUELDOS Y SALARIOS PERMANENTES</v>
      </c>
      <c r="K449" s="98" t="str">
        <f t="shared" si="17"/>
        <v>Posgrado</v>
      </c>
      <c r="L449" s="98" t="s">
        <v>393</v>
      </c>
    </row>
    <row r="450" spans="3:12" x14ac:dyDescent="0.25">
      <c r="C450" s="171" t="s">
        <v>58</v>
      </c>
      <c r="D450" s="163"/>
      <c r="E450" s="154">
        <v>0</v>
      </c>
      <c r="F450" s="100">
        <f>IF(E449=0,"",(G449/E449)/12*E449)</f>
        <v>0</v>
      </c>
      <c r="G450" s="97">
        <f>F450</f>
        <v>0</v>
      </c>
      <c r="H450" s="164"/>
      <c r="I450" s="116" t="s">
        <v>514</v>
      </c>
      <c r="J450" s="116" t="str">
        <f>VLOOKUP(I450,Presupuesto!$B$11:$C$565,2,0)</f>
        <v>AGUINALDO Y DECIMO CUARTO MES</v>
      </c>
      <c r="K450" s="98" t="str">
        <f t="shared" si="17"/>
        <v>Posgrado</v>
      </c>
      <c r="L450" s="98" t="s">
        <v>393</v>
      </c>
    </row>
    <row r="451" spans="3:12" ht="15.75" thickBot="1" x14ac:dyDescent="0.3">
      <c r="C451" s="172" t="s">
        <v>59</v>
      </c>
      <c r="D451" s="163"/>
      <c r="E451" s="154">
        <v>0</v>
      </c>
      <c r="F451" s="117">
        <f>IF(E449&lt;6,"",((E449-6)/12)*(G449/E449))</f>
        <v>0</v>
      </c>
      <c r="G451" s="97">
        <f>F451</f>
        <v>0</v>
      </c>
      <c r="H451" s="164"/>
      <c r="I451" s="101" t="s">
        <v>517</v>
      </c>
      <c r="J451" s="101" t="str">
        <f>VLOOKUP(I451,Presupuesto!$B$11:$C$565,2,0)</f>
        <v>DECIMOCUARTO MES</v>
      </c>
      <c r="K451" s="98" t="str">
        <f t="shared" si="17"/>
        <v>Posgrado</v>
      </c>
      <c r="L451" s="98" t="s">
        <v>393</v>
      </c>
    </row>
    <row r="452" spans="3:12" ht="15.75" thickBot="1" x14ac:dyDescent="0.3">
      <c r="C452" s="137" t="s">
        <v>485</v>
      </c>
      <c r="D452" s="199"/>
      <c r="E452" s="152">
        <v>12</v>
      </c>
      <c r="F452" s="303">
        <f>HLOOKUP($C452,$BZ$2:$CM$3,2,0)</f>
        <v>27792.79</v>
      </c>
      <c r="G452" s="113">
        <f>D452*E452*F452</f>
        <v>0</v>
      </c>
      <c r="H452" s="166"/>
      <c r="I452" s="114" t="s">
        <v>494</v>
      </c>
      <c r="J452" s="114" t="str">
        <f>VLOOKUP(I452,Presupuesto!$B$11:$C$565,2,0)</f>
        <v>SUELDOS Y SALARIOS PERMANENTES</v>
      </c>
      <c r="K452" s="98" t="str">
        <f t="shared" si="17"/>
        <v>Posgrado</v>
      </c>
      <c r="L452" s="98" t="s">
        <v>393</v>
      </c>
    </row>
    <row r="453" spans="3:12" x14ac:dyDescent="0.25">
      <c r="C453" s="171" t="s">
        <v>58</v>
      </c>
      <c r="D453" s="163"/>
      <c r="E453" s="154">
        <v>0</v>
      </c>
      <c r="F453" s="100">
        <f>IF(E452=0,"",(G452/E452)/12*E452)</f>
        <v>0</v>
      </c>
      <c r="G453" s="97">
        <f>F453</f>
        <v>0</v>
      </c>
      <c r="H453" s="164"/>
      <c r="I453" s="116" t="s">
        <v>514</v>
      </c>
      <c r="J453" s="116" t="str">
        <f>VLOOKUP(I453,Presupuesto!$B$11:$C$565,2,0)</f>
        <v>AGUINALDO Y DECIMO CUARTO MES</v>
      </c>
      <c r="K453" s="98" t="str">
        <f t="shared" si="17"/>
        <v>Posgrado</v>
      </c>
      <c r="L453" s="98" t="s">
        <v>393</v>
      </c>
    </row>
    <row r="454" spans="3:12" ht="15.75" thickBot="1" x14ac:dyDescent="0.3">
      <c r="C454" s="172" t="s">
        <v>59</v>
      </c>
      <c r="D454" s="163"/>
      <c r="E454" s="154">
        <v>0</v>
      </c>
      <c r="F454" s="117">
        <f>IF(E452&lt;6,"",((E452-6)/12)*(G452/E452))</f>
        <v>0</v>
      </c>
      <c r="G454" s="97">
        <f>F454</f>
        <v>0</v>
      </c>
      <c r="H454" s="164"/>
      <c r="I454" s="101" t="s">
        <v>517</v>
      </c>
      <c r="J454" s="101" t="str">
        <f>VLOOKUP(I454,Presupuesto!$B$11:$C$565,2,0)</f>
        <v>DECIMOCUARTO MES</v>
      </c>
      <c r="K454" s="98" t="str">
        <f t="shared" si="17"/>
        <v>Posgrado</v>
      </c>
      <c r="L454" s="98" t="s">
        <v>393</v>
      </c>
    </row>
    <row r="455" spans="3:12" ht="15.75" thickBot="1" x14ac:dyDescent="0.3">
      <c r="C455" s="137" t="s">
        <v>486</v>
      </c>
      <c r="D455" s="199"/>
      <c r="E455" s="152">
        <v>12</v>
      </c>
      <c r="F455" s="303">
        <f>HLOOKUP($C455,$BZ$2:$CM$3,2,0)</f>
        <v>18859.39</v>
      </c>
      <c r="G455" s="113">
        <f>D455*E455*F455</f>
        <v>0</v>
      </c>
      <c r="H455" s="166"/>
      <c r="I455" s="114" t="s">
        <v>494</v>
      </c>
      <c r="J455" s="114" t="str">
        <f>VLOOKUP(I455,Presupuesto!$B$11:$C$565,2,0)</f>
        <v>SUELDOS Y SALARIOS PERMANENTES</v>
      </c>
      <c r="K455" s="98" t="str">
        <f t="shared" si="17"/>
        <v>Posgrado</v>
      </c>
      <c r="L455" s="98" t="s">
        <v>393</v>
      </c>
    </row>
    <row r="456" spans="3:12" x14ac:dyDescent="0.25">
      <c r="C456" s="171" t="s">
        <v>58</v>
      </c>
      <c r="D456" s="163"/>
      <c r="E456" s="154">
        <v>0</v>
      </c>
      <c r="F456" s="100">
        <f>IF(E455=0,"",(G455/E455)/12*E455)</f>
        <v>0</v>
      </c>
      <c r="G456" s="97">
        <f>F456</f>
        <v>0</v>
      </c>
      <c r="H456" s="164"/>
      <c r="I456" s="116" t="s">
        <v>514</v>
      </c>
      <c r="J456" s="116" t="str">
        <f>VLOOKUP(I456,Presupuesto!$B$11:$C$565,2,0)</f>
        <v>AGUINALDO Y DECIMO CUARTO MES</v>
      </c>
      <c r="K456" s="98" t="str">
        <f t="shared" si="17"/>
        <v>Posgrado</v>
      </c>
      <c r="L456" s="98" t="s">
        <v>393</v>
      </c>
    </row>
    <row r="457" spans="3:12" ht="15.75" thickBot="1" x14ac:dyDescent="0.3">
      <c r="C457" s="172" t="s">
        <v>59</v>
      </c>
      <c r="D457" s="163"/>
      <c r="E457" s="154">
        <v>0</v>
      </c>
      <c r="F457" s="117">
        <f>IF(E455&lt;6,"",((E455-6)/12)*(G455/E455))</f>
        <v>0</v>
      </c>
      <c r="G457" s="97">
        <f>F457</f>
        <v>0</v>
      </c>
      <c r="H457" s="164"/>
      <c r="I457" s="101" t="s">
        <v>517</v>
      </c>
      <c r="J457" s="101" t="str">
        <f>VLOOKUP(I457,Presupuesto!$B$11:$C$565,2,0)</f>
        <v>DECIMOCUARTO MES</v>
      </c>
      <c r="K457" s="98" t="str">
        <f t="shared" si="17"/>
        <v>Posgrado</v>
      </c>
      <c r="L457" s="98" t="s">
        <v>393</v>
      </c>
    </row>
    <row r="458" spans="3:12" ht="15.75" thickBot="1" x14ac:dyDescent="0.3">
      <c r="C458" s="137" t="s">
        <v>487</v>
      </c>
      <c r="D458" s="199"/>
      <c r="E458" s="152">
        <v>12</v>
      </c>
      <c r="F458" s="303">
        <f>HLOOKUP($C458,$BZ$2:$CM$3,2,0)</f>
        <v>17866.8</v>
      </c>
      <c r="G458" s="113">
        <f>D458*E458*F458</f>
        <v>0</v>
      </c>
      <c r="H458" s="166"/>
      <c r="I458" s="114" t="s">
        <v>494</v>
      </c>
      <c r="J458" s="114" t="str">
        <f>VLOOKUP(I458,Presupuesto!$B$11:$C$565,2,0)</f>
        <v>SUELDOS Y SALARIOS PERMANENTES</v>
      </c>
      <c r="K458" s="98" t="str">
        <f t="shared" si="17"/>
        <v>Posgrado</v>
      </c>
      <c r="L458" s="98" t="s">
        <v>393</v>
      </c>
    </row>
    <row r="459" spans="3:12" x14ac:dyDescent="0.25">
      <c r="C459" s="171" t="s">
        <v>58</v>
      </c>
      <c r="D459" s="163"/>
      <c r="E459" s="154">
        <v>0</v>
      </c>
      <c r="F459" s="100">
        <f>IF(E458=0,"",(G458/E458)/12*E458)</f>
        <v>0</v>
      </c>
      <c r="G459" s="97">
        <f>F459</f>
        <v>0</v>
      </c>
      <c r="H459" s="164"/>
      <c r="I459" s="116" t="s">
        <v>514</v>
      </c>
      <c r="J459" s="116" t="str">
        <f>VLOOKUP(I459,Presupuesto!$B$11:$C$565,2,0)</f>
        <v>AGUINALDO Y DECIMO CUARTO MES</v>
      </c>
      <c r="K459" s="98" t="str">
        <f t="shared" si="17"/>
        <v>Posgrado</v>
      </c>
      <c r="L459" s="98" t="s">
        <v>393</v>
      </c>
    </row>
    <row r="460" spans="3:12" ht="15.75" thickBot="1" x14ac:dyDescent="0.3">
      <c r="C460" s="172" t="s">
        <v>59</v>
      </c>
      <c r="D460" s="163"/>
      <c r="E460" s="154">
        <v>0</v>
      </c>
      <c r="F460" s="117">
        <f>IF(E458&lt;6,"",((E458-6)/12)*(G458/E458))</f>
        <v>0</v>
      </c>
      <c r="G460" s="97">
        <f>F460</f>
        <v>0</v>
      </c>
      <c r="H460" s="164"/>
      <c r="I460" s="101" t="s">
        <v>517</v>
      </c>
      <c r="J460" s="101" t="str">
        <f>VLOOKUP(I460,Presupuesto!$B$11:$C$565,2,0)</f>
        <v>DECIMOCUARTO MES</v>
      </c>
      <c r="K460" s="98" t="str">
        <f t="shared" si="17"/>
        <v>Posgrado</v>
      </c>
      <c r="L460" s="98" t="s">
        <v>393</v>
      </c>
    </row>
    <row r="461" spans="3:12" ht="15.75" thickBot="1" x14ac:dyDescent="0.3">
      <c r="C461" s="137" t="s">
        <v>488</v>
      </c>
      <c r="D461" s="199"/>
      <c r="E461" s="152">
        <v>12</v>
      </c>
      <c r="F461" s="303">
        <f>HLOOKUP($C461,$BZ$2:$CM$3,2,0)</f>
        <v>13896.4</v>
      </c>
      <c r="G461" s="113">
        <f>D461*E461*F461</f>
        <v>0</v>
      </c>
      <c r="H461" s="166"/>
      <c r="I461" s="114" t="s">
        <v>494</v>
      </c>
      <c r="J461" s="114" t="str">
        <f>VLOOKUP(I461,Presupuesto!$B$11:$C$565,2,0)</f>
        <v>SUELDOS Y SALARIOS PERMANENTES</v>
      </c>
      <c r="K461" s="98" t="str">
        <f t="shared" si="17"/>
        <v>Posgrado</v>
      </c>
      <c r="L461" s="98" t="s">
        <v>393</v>
      </c>
    </row>
    <row r="462" spans="3:12" x14ac:dyDescent="0.25">
      <c r="C462" s="171" t="s">
        <v>58</v>
      </c>
      <c r="D462" s="163"/>
      <c r="E462" s="154">
        <v>0</v>
      </c>
      <c r="F462" s="100">
        <f>IF(E461=0,"",(G461/E461)/12*E461)</f>
        <v>0</v>
      </c>
      <c r="G462" s="97">
        <f>F462</f>
        <v>0</v>
      </c>
      <c r="H462" s="164"/>
      <c r="I462" s="116" t="s">
        <v>514</v>
      </c>
      <c r="J462" s="116" t="str">
        <f>VLOOKUP(I462,Presupuesto!$B$11:$C$565,2,0)</f>
        <v>AGUINALDO Y DECIMO CUARTO MES</v>
      </c>
      <c r="K462" s="98" t="str">
        <f t="shared" si="17"/>
        <v>Posgrado</v>
      </c>
      <c r="L462" s="98" t="s">
        <v>393</v>
      </c>
    </row>
    <row r="463" spans="3:12" ht="15.75" thickBot="1" x14ac:dyDescent="0.3">
      <c r="C463" s="172" t="s">
        <v>59</v>
      </c>
      <c r="D463" s="163"/>
      <c r="E463" s="154">
        <v>0</v>
      </c>
      <c r="F463" s="117">
        <f>IF(E461&lt;6,"",((E461-6)/12)*(G461/E461))</f>
        <v>0</v>
      </c>
      <c r="G463" s="97">
        <f>F463</f>
        <v>0</v>
      </c>
      <c r="H463" s="164"/>
      <c r="I463" s="101" t="s">
        <v>517</v>
      </c>
      <c r="J463" s="101" t="str">
        <f>VLOOKUP(I463,Presupuesto!$B$11:$C$565,2,0)</f>
        <v>DECIMOCUARTO MES</v>
      </c>
      <c r="K463" s="98" t="str">
        <f t="shared" si="17"/>
        <v>Posgrado</v>
      </c>
      <c r="L463" s="98" t="s">
        <v>393</v>
      </c>
    </row>
    <row r="464" spans="3:12" ht="15.75" thickBot="1" x14ac:dyDescent="0.3">
      <c r="C464" s="137" t="s">
        <v>489</v>
      </c>
      <c r="D464" s="199"/>
      <c r="E464" s="152">
        <v>12</v>
      </c>
      <c r="F464" s="303">
        <f>HLOOKUP($C464,$BZ$2:$CM$3,2,0)</f>
        <v>15004.09</v>
      </c>
      <c r="G464" s="113">
        <f>D464*E464*F464</f>
        <v>0</v>
      </c>
      <c r="H464" s="166"/>
      <c r="I464" s="114" t="s">
        <v>494</v>
      </c>
      <c r="J464" s="114" t="str">
        <f>VLOOKUP(I464,Presupuesto!$B$11:$C$565,2,0)</f>
        <v>SUELDOS Y SALARIOS PERMANENTES</v>
      </c>
      <c r="K464" s="98" t="str">
        <f t="shared" si="17"/>
        <v>Posgrado</v>
      </c>
      <c r="L464" s="98" t="s">
        <v>393</v>
      </c>
    </row>
    <row r="465" spans="3:12" x14ac:dyDescent="0.25">
      <c r="C465" s="171" t="s">
        <v>58</v>
      </c>
      <c r="D465" s="163"/>
      <c r="E465" s="154">
        <v>0</v>
      </c>
      <c r="F465" s="100">
        <f>IF(E464=0,"",(G464/E464)/12*E464)</f>
        <v>0</v>
      </c>
      <c r="G465" s="97">
        <f>F465</f>
        <v>0</v>
      </c>
      <c r="H465" s="164"/>
      <c r="I465" s="116" t="s">
        <v>514</v>
      </c>
      <c r="J465" s="116" t="str">
        <f>VLOOKUP(I465,Presupuesto!$B$11:$C$565,2,0)</f>
        <v>AGUINALDO Y DECIMO CUARTO MES</v>
      </c>
      <c r="K465" s="98" t="str">
        <f t="shared" si="17"/>
        <v>Posgrado</v>
      </c>
      <c r="L465" s="98" t="s">
        <v>393</v>
      </c>
    </row>
    <row r="466" spans="3:12" ht="15.75" thickBot="1" x14ac:dyDescent="0.3">
      <c r="C466" s="172" t="s">
        <v>59</v>
      </c>
      <c r="D466" s="163"/>
      <c r="E466" s="154">
        <v>0</v>
      </c>
      <c r="F466" s="117">
        <f>IF(E464&lt;6,"",((E464-6)/12)*(G464/E464))</f>
        <v>0</v>
      </c>
      <c r="G466" s="97">
        <f>F466</f>
        <v>0</v>
      </c>
      <c r="H466" s="164"/>
      <c r="I466" s="101" t="s">
        <v>517</v>
      </c>
      <c r="J466" s="101" t="str">
        <f>VLOOKUP(I466,Presupuesto!$B$11:$C$565,2,0)</f>
        <v>DECIMOCUARTO MES</v>
      </c>
      <c r="K466" s="98" t="str">
        <f t="shared" si="17"/>
        <v>Posgrado</v>
      </c>
      <c r="L466" s="98" t="s">
        <v>393</v>
      </c>
    </row>
    <row r="467" spans="3:12" ht="15.75" thickBot="1" x14ac:dyDescent="0.3">
      <c r="C467" s="137" t="s">
        <v>490</v>
      </c>
      <c r="D467" s="199"/>
      <c r="E467" s="152">
        <v>12</v>
      </c>
      <c r="F467" s="303">
        <f>HLOOKUP($C467,$BZ$2:$CM$3,2,0)</f>
        <v>13238.9</v>
      </c>
      <c r="G467" s="113">
        <f>D467*E467*F467</f>
        <v>0</v>
      </c>
      <c r="H467" s="166"/>
      <c r="I467" s="114" t="s">
        <v>494</v>
      </c>
      <c r="J467" s="114" t="str">
        <f>VLOOKUP(I467,Presupuesto!$B$11:$C$565,2,0)</f>
        <v>SUELDOS Y SALARIOS PERMANENTES</v>
      </c>
      <c r="K467" s="98" t="str">
        <f t="shared" si="17"/>
        <v>Posgrado</v>
      </c>
      <c r="L467" s="98" t="s">
        <v>393</v>
      </c>
    </row>
    <row r="468" spans="3:12" x14ac:dyDescent="0.25">
      <c r="C468" s="171" t="s">
        <v>58</v>
      </c>
      <c r="D468" s="163"/>
      <c r="E468" s="154">
        <v>0</v>
      </c>
      <c r="F468" s="100">
        <f>IF(E467=0,"",(G467/E467)/12*E467)</f>
        <v>0</v>
      </c>
      <c r="G468" s="97">
        <f>F468</f>
        <v>0</v>
      </c>
      <c r="H468" s="164"/>
      <c r="I468" s="116" t="s">
        <v>514</v>
      </c>
      <c r="J468" s="116" t="str">
        <f>VLOOKUP(I468,Presupuesto!$B$11:$C$565,2,0)</f>
        <v>AGUINALDO Y DECIMO CUARTO MES</v>
      </c>
      <c r="K468" s="98" t="str">
        <f t="shared" si="17"/>
        <v>Posgrado</v>
      </c>
      <c r="L468" s="98" t="s">
        <v>393</v>
      </c>
    </row>
    <row r="469" spans="3:12" ht="15.75" thickBot="1" x14ac:dyDescent="0.3">
      <c r="C469" s="172" t="s">
        <v>59</v>
      </c>
      <c r="D469" s="163"/>
      <c r="E469" s="154">
        <v>0</v>
      </c>
      <c r="F469" s="117">
        <f>IF(E467&lt;6,"",((E467-6)/12)*(G467/E467))</f>
        <v>0</v>
      </c>
      <c r="G469" s="97">
        <f>F469</f>
        <v>0</v>
      </c>
      <c r="H469" s="164"/>
      <c r="I469" s="101" t="s">
        <v>517</v>
      </c>
      <c r="J469" s="101" t="str">
        <f>VLOOKUP(I469,Presupuesto!$B$11:$C$565,2,0)</f>
        <v>DECIMOCUARTO MES</v>
      </c>
      <c r="K469" s="98" t="str">
        <f t="shared" si="17"/>
        <v>Posgrado</v>
      </c>
      <c r="L469" s="98" t="s">
        <v>393</v>
      </c>
    </row>
    <row r="470" spans="3:12" ht="15.75" thickBot="1" x14ac:dyDescent="0.3">
      <c r="C470" s="137" t="s">
        <v>491</v>
      </c>
      <c r="D470" s="199"/>
      <c r="E470" s="152">
        <v>12</v>
      </c>
      <c r="F470" s="303">
        <f>HLOOKUP($C470,$BZ$2:$CM$3,2,0)</f>
        <v>12356.31</v>
      </c>
      <c r="G470" s="113">
        <f>D470*E470*F470</f>
        <v>0</v>
      </c>
      <c r="H470" s="166"/>
      <c r="I470" s="114" t="s">
        <v>494</v>
      </c>
      <c r="J470" s="114" t="str">
        <f>VLOOKUP(I470,Presupuesto!$B$11:$C$565,2,0)</f>
        <v>SUELDOS Y SALARIOS PERMANENTES</v>
      </c>
      <c r="K470" s="98" t="str">
        <f t="shared" ref="K470:K487" si="18">$K$437</f>
        <v>Posgrado</v>
      </c>
      <c r="L470" s="98" t="s">
        <v>393</v>
      </c>
    </row>
    <row r="471" spans="3:12" x14ac:dyDescent="0.25">
      <c r="C471" s="171" t="s">
        <v>58</v>
      </c>
      <c r="D471" s="163"/>
      <c r="E471" s="154">
        <v>0</v>
      </c>
      <c r="F471" s="100">
        <f>IF(E470=0,"",(G470/E470)/12*E470)</f>
        <v>0</v>
      </c>
      <c r="G471" s="97">
        <f>F471</f>
        <v>0</v>
      </c>
      <c r="H471" s="164"/>
      <c r="I471" s="116" t="s">
        <v>514</v>
      </c>
      <c r="J471" s="116" t="str">
        <f>VLOOKUP(I471,Presupuesto!$B$11:$C$565,2,0)</f>
        <v>AGUINALDO Y DECIMO CUARTO MES</v>
      </c>
      <c r="K471" s="98" t="str">
        <f t="shared" si="18"/>
        <v>Posgrado</v>
      </c>
      <c r="L471" s="98" t="s">
        <v>393</v>
      </c>
    </row>
    <row r="472" spans="3:12" ht="15.75" thickBot="1" x14ac:dyDescent="0.3">
      <c r="C472" s="172" t="s">
        <v>59</v>
      </c>
      <c r="D472" s="163"/>
      <c r="E472" s="154">
        <v>0</v>
      </c>
      <c r="F472" s="117">
        <f>IF(E470&lt;6,"",((E470-6)/12)*(G470/E470))</f>
        <v>0</v>
      </c>
      <c r="G472" s="97">
        <f>F472</f>
        <v>0</v>
      </c>
      <c r="H472" s="164"/>
      <c r="I472" s="101" t="s">
        <v>517</v>
      </c>
      <c r="J472" s="101" t="str">
        <f>VLOOKUP(I472,Presupuesto!$B$11:$C$565,2,0)</f>
        <v>DECIMOCUARTO MES</v>
      </c>
      <c r="K472" s="98" t="str">
        <f t="shared" si="18"/>
        <v>Posgrado</v>
      </c>
      <c r="L472" s="98" t="s">
        <v>393</v>
      </c>
    </row>
    <row r="473" spans="3:12" ht="15.75" thickBot="1" x14ac:dyDescent="0.3">
      <c r="C473" s="137" t="s">
        <v>492</v>
      </c>
      <c r="D473" s="199"/>
      <c r="E473" s="152">
        <v>12</v>
      </c>
      <c r="F473" s="303">
        <f>HLOOKUP($C473,$BZ$2:$CM$3,2,0)</f>
        <v>463.22</v>
      </c>
      <c r="G473" s="113">
        <f>D473*E473*F473</f>
        <v>0</v>
      </c>
      <c r="H473" s="166"/>
      <c r="I473" s="114" t="s">
        <v>494</v>
      </c>
      <c r="J473" s="114" t="str">
        <f>VLOOKUP(I473,Presupuesto!$B$11:$C$565,2,0)</f>
        <v>SUELDOS Y SALARIOS PERMANENTES</v>
      </c>
      <c r="K473" s="98" t="str">
        <f t="shared" si="18"/>
        <v>Posgrado</v>
      </c>
      <c r="L473" s="98" t="s">
        <v>393</v>
      </c>
    </row>
    <row r="474" spans="3:12" x14ac:dyDescent="0.25">
      <c r="C474" s="171" t="s">
        <v>58</v>
      </c>
      <c r="D474" s="163"/>
      <c r="E474" s="154">
        <v>0</v>
      </c>
      <c r="F474" s="100">
        <f>IF(E473=0,"",(G473/E473)/12*E473)</f>
        <v>0</v>
      </c>
      <c r="G474" s="97">
        <f>F474</f>
        <v>0</v>
      </c>
      <c r="H474" s="164"/>
      <c r="I474" s="116" t="s">
        <v>514</v>
      </c>
      <c r="J474" s="116" t="str">
        <f>VLOOKUP(I474,Presupuesto!$B$11:$C$565,2,0)</f>
        <v>AGUINALDO Y DECIMO CUARTO MES</v>
      </c>
      <c r="K474" s="98" t="str">
        <f t="shared" si="18"/>
        <v>Posgrado</v>
      </c>
      <c r="L474" s="98" t="s">
        <v>393</v>
      </c>
    </row>
    <row r="475" spans="3:12" ht="15.75" thickBot="1" x14ac:dyDescent="0.3">
      <c r="C475" s="172" t="s">
        <v>59</v>
      </c>
      <c r="D475" s="163"/>
      <c r="E475" s="154">
        <v>0</v>
      </c>
      <c r="F475" s="117">
        <f>IF(E473&lt;6,"",((E473-6)/12)*(G473/E473))</f>
        <v>0</v>
      </c>
      <c r="G475" s="97">
        <f>F475</f>
        <v>0</v>
      </c>
      <c r="H475" s="164"/>
      <c r="I475" s="101" t="s">
        <v>517</v>
      </c>
      <c r="J475" s="101" t="str">
        <f>VLOOKUP(I475,Presupuesto!$B$11:$C$565,2,0)</f>
        <v>DECIMOCUARTO MES</v>
      </c>
      <c r="K475" s="98" t="str">
        <f t="shared" si="18"/>
        <v>Posgrado</v>
      </c>
      <c r="L475" s="98" t="s">
        <v>393</v>
      </c>
    </row>
    <row r="476" spans="3:12" ht="15.75" thickBot="1" x14ac:dyDescent="0.3">
      <c r="C476" s="137" t="s">
        <v>493</v>
      </c>
      <c r="D476" s="199"/>
      <c r="E476" s="152">
        <v>12</v>
      </c>
      <c r="F476" s="303">
        <f>HLOOKUP($C476,$BZ$2:$CM$3,2,0)</f>
        <v>2007.3</v>
      </c>
      <c r="G476" s="113">
        <f>D476*E476*F476</f>
        <v>0</v>
      </c>
      <c r="H476" s="166"/>
      <c r="I476" s="114" t="s">
        <v>494</v>
      </c>
      <c r="J476" s="114" t="str">
        <f>VLOOKUP(I476,Presupuesto!$B$11:$C$565,2,0)</f>
        <v>SUELDOS Y SALARIOS PERMANENTES</v>
      </c>
      <c r="K476" s="98" t="str">
        <f t="shared" si="18"/>
        <v>Posgrado</v>
      </c>
      <c r="L476" s="98" t="s">
        <v>393</v>
      </c>
    </row>
    <row r="477" spans="3:12" x14ac:dyDescent="0.25">
      <c r="C477" s="171" t="s">
        <v>58</v>
      </c>
      <c r="D477" s="163"/>
      <c r="E477" s="154">
        <v>0</v>
      </c>
      <c r="F477" s="100">
        <f>IF(E476=0,"",(G476/E476)/12*E476)</f>
        <v>0</v>
      </c>
      <c r="G477" s="97">
        <f>F477</f>
        <v>0</v>
      </c>
      <c r="H477" s="164"/>
      <c r="I477" s="116" t="s">
        <v>514</v>
      </c>
      <c r="J477" s="116" t="str">
        <f>VLOOKUP(I477,Presupuesto!$B$11:$C$565,2,0)</f>
        <v>AGUINALDO Y DECIMO CUARTO MES</v>
      </c>
      <c r="K477" s="98" t="str">
        <f t="shared" si="18"/>
        <v>Posgrado</v>
      </c>
      <c r="L477" s="98" t="s">
        <v>393</v>
      </c>
    </row>
    <row r="478" spans="3:12" ht="15.75" thickBot="1" x14ac:dyDescent="0.3">
      <c r="C478" s="172" t="s">
        <v>59</v>
      </c>
      <c r="D478" s="163"/>
      <c r="E478" s="154">
        <v>0</v>
      </c>
      <c r="F478" s="117">
        <f>IF(E476&lt;6,"",((E476-6)/12)*(G476/E476))</f>
        <v>0</v>
      </c>
      <c r="G478" s="97">
        <f>F478</f>
        <v>0</v>
      </c>
      <c r="H478" s="164"/>
      <c r="I478" s="101" t="s">
        <v>517</v>
      </c>
      <c r="J478" s="101" t="str">
        <f>VLOOKUP(I478,Presupuesto!$B$11:$C$565,2,0)</f>
        <v>DECIMOCUARTO MES</v>
      </c>
      <c r="K478" s="98" t="str">
        <f t="shared" si="18"/>
        <v>Posgrado</v>
      </c>
      <c r="L478" s="98" t="s">
        <v>393</v>
      </c>
    </row>
    <row r="479" spans="3:12" ht="15.75" thickBot="1" x14ac:dyDescent="0.3">
      <c r="C479" s="140" t="s">
        <v>83</v>
      </c>
      <c r="D479" s="199"/>
      <c r="E479" s="152">
        <v>12</v>
      </c>
      <c r="F479" s="139">
        <v>30000</v>
      </c>
      <c r="G479" s="113">
        <f>D479*E479*F479</f>
        <v>0</v>
      </c>
      <c r="H479" s="166"/>
      <c r="I479" s="114" t="s">
        <v>562</v>
      </c>
      <c r="J479" s="114" t="str">
        <f>VLOOKUP(I479,Presupuesto!$B$11:$C$565,2,0)</f>
        <v>CONTRATOS ESPECIALES</v>
      </c>
      <c r="K479" s="98" t="str">
        <f t="shared" si="18"/>
        <v>Posgrado</v>
      </c>
      <c r="L479" s="98" t="s">
        <v>393</v>
      </c>
    </row>
    <row r="480" spans="3:12" x14ac:dyDescent="0.25">
      <c r="C480" s="171" t="s">
        <v>58</v>
      </c>
      <c r="D480" s="163"/>
      <c r="E480" s="154">
        <v>0</v>
      </c>
      <c r="F480" s="117">
        <f>IF(E479=0,"",(G479/E479)/12*E479)</f>
        <v>0</v>
      </c>
      <c r="G480" s="97">
        <f>F480</f>
        <v>0</v>
      </c>
      <c r="H480" s="164"/>
      <c r="I480" s="101" t="s">
        <v>562</v>
      </c>
      <c r="J480" s="101" t="str">
        <f>VLOOKUP(I480,Presupuesto!$B$11:$C$565,2,0)</f>
        <v>CONTRATOS ESPECIALES</v>
      </c>
      <c r="K480" s="98" t="str">
        <f t="shared" si="18"/>
        <v>Posgrado</v>
      </c>
      <c r="L480" s="98" t="s">
        <v>392</v>
      </c>
    </row>
    <row r="481" spans="3:12" ht="15.75" thickBot="1" x14ac:dyDescent="0.3">
      <c r="C481" s="172" t="s">
        <v>59</v>
      </c>
      <c r="D481" s="163"/>
      <c r="E481" s="154">
        <v>0</v>
      </c>
      <c r="F481" s="100">
        <f>IF(E479&lt;6,"",((E479-6)/12)*(G479/E479))</f>
        <v>0</v>
      </c>
      <c r="G481" s="97">
        <f>F481</f>
        <v>0</v>
      </c>
      <c r="H481" s="164"/>
      <c r="I481" s="101" t="s">
        <v>562</v>
      </c>
      <c r="J481" s="101" t="str">
        <f>VLOOKUP(I481,Presupuesto!$B$11:$C$565,2,0)</f>
        <v>CONTRATOS ESPECIALES</v>
      </c>
      <c r="K481" s="98" t="str">
        <f t="shared" si="18"/>
        <v>Posgrado</v>
      </c>
      <c r="L481" s="98" t="s">
        <v>397</v>
      </c>
    </row>
    <row r="482" spans="3:12" ht="15.75" thickBot="1" x14ac:dyDescent="0.3">
      <c r="C482" s="140" t="s">
        <v>60</v>
      </c>
      <c r="D482" s="199"/>
      <c r="E482" s="152">
        <v>12</v>
      </c>
      <c r="F482" s="118">
        <v>30000</v>
      </c>
      <c r="G482" s="113">
        <f>D482*E482*F482</f>
        <v>0</v>
      </c>
      <c r="H482" s="166"/>
      <c r="I482" s="114" t="s">
        <v>703</v>
      </c>
      <c r="J482" s="114" t="str">
        <f>VLOOKUP(I482,Presupuesto!$B$11:$C$565,2,0)</f>
        <v>OTROS SERVICIOS TECNICOS Y PROFESIONALES</v>
      </c>
      <c r="K482" s="98" t="str">
        <f t="shared" si="18"/>
        <v>Posgrado</v>
      </c>
      <c r="L482" s="98" t="s">
        <v>392</v>
      </c>
    </row>
    <row r="483" spans="3:12" x14ac:dyDescent="0.25">
      <c r="C483" s="171" t="s">
        <v>58</v>
      </c>
      <c r="D483" s="163"/>
      <c r="E483" s="154">
        <v>0</v>
      </c>
      <c r="F483" s="100">
        <v>0</v>
      </c>
      <c r="G483" s="97">
        <f>F483</f>
        <v>0</v>
      </c>
      <c r="H483" s="164"/>
      <c r="I483" s="101" t="s">
        <v>703</v>
      </c>
      <c r="J483" s="101" t="str">
        <f>VLOOKUP(I483,Presupuesto!$B$11:$C$565,2,0)</f>
        <v>OTROS SERVICIOS TECNICOS Y PROFESIONALES</v>
      </c>
      <c r="K483" s="98" t="str">
        <f t="shared" si="18"/>
        <v>Posgrado</v>
      </c>
      <c r="L483" s="98" t="s">
        <v>392</v>
      </c>
    </row>
    <row r="484" spans="3:12" ht="15.75" thickBot="1" x14ac:dyDescent="0.3">
      <c r="C484" s="172" t="s">
        <v>59</v>
      </c>
      <c r="D484" s="163"/>
      <c r="E484" s="154">
        <v>0</v>
      </c>
      <c r="F484" s="100">
        <v>0</v>
      </c>
      <c r="G484" s="97">
        <f>F484</f>
        <v>0</v>
      </c>
      <c r="H484" s="164"/>
      <c r="I484" s="101" t="s">
        <v>703</v>
      </c>
      <c r="J484" s="101" t="str">
        <f>VLOOKUP(I484,Presupuesto!$B$11:$C$565,2,0)</f>
        <v>OTROS SERVICIOS TECNICOS Y PROFESIONALES</v>
      </c>
      <c r="K484" s="98" t="str">
        <f t="shared" si="18"/>
        <v>Posgrado</v>
      </c>
      <c r="L484" s="98" t="s">
        <v>392</v>
      </c>
    </row>
    <row r="485" spans="3:12" ht="15.75" thickBot="1" x14ac:dyDescent="0.3">
      <c r="C485" s="140" t="s">
        <v>61</v>
      </c>
      <c r="D485" s="199"/>
      <c r="E485" s="152">
        <v>12</v>
      </c>
      <c r="F485" s="118">
        <v>30000</v>
      </c>
      <c r="G485" s="113">
        <f>D485*E485*F485</f>
        <v>0</v>
      </c>
      <c r="H485" s="166"/>
      <c r="I485" s="114" t="s">
        <v>494</v>
      </c>
      <c r="J485" s="114" t="str">
        <f>VLOOKUP(I485,Presupuesto!$B$11:$C$565,2,0)</f>
        <v>SUELDOS Y SALARIOS PERMANENTES</v>
      </c>
      <c r="K485" s="98" t="str">
        <f t="shared" si="18"/>
        <v>Posgrado</v>
      </c>
      <c r="L485" s="98" t="s">
        <v>392</v>
      </c>
    </row>
    <row r="486" spans="3:12" x14ac:dyDescent="0.25">
      <c r="C486" s="171" t="s">
        <v>58</v>
      </c>
      <c r="D486" s="169"/>
      <c r="E486" s="131">
        <v>0</v>
      </c>
      <c r="F486" s="119">
        <f>IF(E485=0,"",(G485/E485)/12*E485)</f>
        <v>0</v>
      </c>
      <c r="G486" s="120">
        <f>F486</f>
        <v>0</v>
      </c>
      <c r="H486" s="164"/>
      <c r="I486" s="101" t="s">
        <v>514</v>
      </c>
      <c r="J486" s="101" t="str">
        <f>VLOOKUP(I486,Presupuesto!$B$11:$C$565,2,0)</f>
        <v>AGUINALDO Y DECIMO CUARTO MES</v>
      </c>
      <c r="K486" s="98" t="str">
        <f t="shared" si="18"/>
        <v>Posgrado</v>
      </c>
      <c r="L486" s="98" t="s">
        <v>392</v>
      </c>
    </row>
    <row r="487" spans="3:12" ht="15.75" thickBot="1" x14ac:dyDescent="0.3">
      <c r="C487" s="173" t="s">
        <v>59</v>
      </c>
      <c r="D487" s="162"/>
      <c r="E487" s="132">
        <v>0</v>
      </c>
      <c r="F487" s="105">
        <f>IF(E485&lt;6,"",((E485-6)/12)*(G485/E485))</f>
        <v>0</v>
      </c>
      <c r="G487" s="105">
        <f>F487</f>
        <v>0</v>
      </c>
      <c r="H487" s="162"/>
      <c r="I487" s="106" t="s">
        <v>517</v>
      </c>
      <c r="J487" s="124" t="str">
        <f>VLOOKUP(I487,Presupuesto!$B$11:$C$565,2,0)</f>
        <v>DECIMOCUARTO MES</v>
      </c>
      <c r="K487" s="106" t="str">
        <f t="shared" si="18"/>
        <v>Posgrado</v>
      </c>
      <c r="L487" s="124" t="s">
        <v>392</v>
      </c>
    </row>
    <row r="489" spans="3:12" ht="15.75" thickBot="1" x14ac:dyDescent="0.3">
      <c r="K489" s="153"/>
    </row>
    <row r="490" spans="3:12" ht="15.75" thickBot="1" x14ac:dyDescent="0.3">
      <c r="C490" s="69" t="s">
        <v>43</v>
      </c>
      <c r="D490" s="30">
        <f>SUM(G497:G547)</f>
        <v>0</v>
      </c>
      <c r="E490" s="93"/>
      <c r="F490" s="93"/>
      <c r="G490" s="93"/>
      <c r="H490" s="76"/>
      <c r="I490" s="76"/>
      <c r="J490" s="76"/>
      <c r="K490" s="153"/>
    </row>
    <row r="491" spans="3:12" x14ac:dyDescent="0.25">
      <c r="D491" s="31"/>
      <c r="E491" s="93"/>
      <c r="F491" s="93"/>
      <c r="G491" s="93"/>
      <c r="H491" s="76"/>
      <c r="I491" s="76"/>
      <c r="J491" s="76"/>
      <c r="K491" s="153"/>
    </row>
    <row r="492" spans="3:12" x14ac:dyDescent="0.25">
      <c r="D492" s="31"/>
      <c r="E492" s="93"/>
      <c r="F492" s="93"/>
      <c r="G492" s="93"/>
      <c r="H492" s="76"/>
      <c r="I492" s="76"/>
      <c r="J492" s="76"/>
      <c r="K492" s="153"/>
    </row>
    <row r="493" spans="3:12" ht="15.75" x14ac:dyDescent="0.25">
      <c r="C493" s="202" t="s">
        <v>390</v>
      </c>
      <c r="D493" s="368"/>
      <c r="E493" s="93"/>
      <c r="F493" s="93"/>
      <c r="G493" s="93"/>
      <c r="H493" s="76"/>
      <c r="I493" s="76"/>
      <c r="J493" s="76"/>
      <c r="K493" s="153"/>
    </row>
    <row r="494" spans="3:12" ht="18.75" x14ac:dyDescent="0.25">
      <c r="C494" s="210" t="e">
        <f>IFERROR(VLOOKUP(D493,'1. Desarrollo e Innov. Curricu.'!$F:$G,2,FALSE),IFERROR(VLOOKUP(D493,'2. Investigación Científica'!$F:$G,2,FALSE),IFERROR(VLOOKUP(D493,'3. Vinculación Univ. Sociedad'!$F:$G,2,FALSE),IFERROR(VLOOKUP(D493,'4. Docencia y Profesorado Univ.'!$F:$G,2,FALSE),IFERROR(VLOOKUP(D493,'5. Estudiantes y Graduados'!$F:$G,2,FALSE),IFERROR(VLOOKUP(D493,'11. Gestion Administrativa'!$F:$G,2,FALSE),IFERROR(VLOOKUP(D493,'13. Gestión Académica'!$F:$G,2,FALSE),IFERROR(VLOOKUP(D493,'9. Asegura. de la Calid. y M'!$F:$G,2,FALSE),IFERROR(VLOOKUP(D493,'6. Gestión del Conocimiento'!$F:$G,2,FALSE),IFERROR(VLOOKUP(D493,'15. Gobernabilidad y Proceso...'!$G:$H,2,FALSE),IFERROR(VLOOKUP(D493,'12. Gestión del Talento Humano'!$F:$G,2,FALSE),IFERROR(VLOOKUP(D493,'14. Internacional... de la E.S.'!$F:$G,2,FALSE),IFERROR(VLOOKUP(D493,'10. Posgrado'!$F:$G,2,FALSE),IFERROR(VLOOKUP(D493,'17. Gestión TIC'!$F:$G,2,FALSE),IFERROR(VLOOKUP(D493,'16. Desa. del Sistema Educ.Sup.'!$F:$G,2,FALSE),IFERROR(VLOOKUP(D493,'8. Cultura de Inno. Insti...'!$F:$G,2,FALSE),VLOOKUP(D493,'7. Lo Esencial de la Reforma U.'!$G:$H,2,0)))))))))))))))))</f>
        <v>#N/A</v>
      </c>
      <c r="D494" s="31"/>
      <c r="E494" s="93"/>
      <c r="F494" s="93"/>
      <c r="G494" s="93"/>
      <c r="H494" s="76"/>
      <c r="I494" s="76"/>
      <c r="J494" s="76"/>
      <c r="K494" s="153"/>
    </row>
    <row r="495" spans="3:12" ht="15.75" thickBot="1" x14ac:dyDescent="0.3">
      <c r="C495" s="177"/>
      <c r="D495" s="31"/>
      <c r="E495" s="93"/>
      <c r="F495" s="93"/>
      <c r="G495" s="93"/>
      <c r="H495" s="76"/>
      <c r="I495" s="76"/>
      <c r="J495" s="76"/>
      <c r="K495" s="153"/>
    </row>
    <row r="496" spans="3:12" ht="30.75" thickBot="1" x14ac:dyDescent="0.3">
      <c r="C496" s="134" t="s">
        <v>44</v>
      </c>
      <c r="D496" s="138" t="s">
        <v>55</v>
      </c>
      <c r="E496" s="170" t="s">
        <v>56</v>
      </c>
      <c r="F496" s="138" t="s">
        <v>57</v>
      </c>
      <c r="G496" s="135" t="s">
        <v>27</v>
      </c>
      <c r="H496" s="133" t="s">
        <v>129</v>
      </c>
      <c r="I496" s="136" t="s">
        <v>46</v>
      </c>
      <c r="J496" s="136" t="s">
        <v>130</v>
      </c>
      <c r="K496" s="136" t="s">
        <v>408</v>
      </c>
      <c r="L496" s="136" t="s">
        <v>409</v>
      </c>
    </row>
    <row r="497" spans="3:12" ht="15.75" thickBot="1" x14ac:dyDescent="0.3">
      <c r="C497" s="137" t="s">
        <v>480</v>
      </c>
      <c r="D497" s="199"/>
      <c r="E497" s="152">
        <v>12</v>
      </c>
      <c r="F497" s="303">
        <f>HLOOKUP($C497,$BZ$2:$CM$3,2,0)</f>
        <v>43674.39</v>
      </c>
      <c r="G497" s="113">
        <f>D497*E497*F497</f>
        <v>0</v>
      </c>
      <c r="H497" s="166"/>
      <c r="I497" s="114" t="s">
        <v>494</v>
      </c>
      <c r="J497" s="114" t="str">
        <f>VLOOKUP(I497,Presupuesto!$B$11:$C$565,2,0)</f>
        <v>SUELDOS Y SALARIOS PERMANENTES</v>
      </c>
      <c r="K497" s="218" t="s">
        <v>1443</v>
      </c>
      <c r="L497" s="98" t="s">
        <v>392</v>
      </c>
    </row>
    <row r="498" spans="3:12" x14ac:dyDescent="0.25">
      <c r="C498" s="171" t="s">
        <v>58</v>
      </c>
      <c r="D498" s="163"/>
      <c r="E498" s="154">
        <v>0</v>
      </c>
      <c r="F498" s="100">
        <f>IF(E497=0,"",(G497/E497)/12*E497)</f>
        <v>0</v>
      </c>
      <c r="G498" s="97">
        <f>F498</f>
        <v>0</v>
      </c>
      <c r="H498" s="164"/>
      <c r="I498" s="116" t="s">
        <v>514</v>
      </c>
      <c r="J498" s="116" t="str">
        <f>VLOOKUP(I498,Presupuesto!$B$11:$C$565,2,0)</f>
        <v>AGUINALDO Y DECIMO CUARTO MES</v>
      </c>
      <c r="K498" s="98" t="str">
        <f t="shared" ref="K498:K529" si="19">$K$497</f>
        <v>Posgrado</v>
      </c>
      <c r="L498" s="98" t="s">
        <v>410</v>
      </c>
    </row>
    <row r="499" spans="3:12" ht="15.75" thickBot="1" x14ac:dyDescent="0.3">
      <c r="C499" s="172" t="s">
        <v>59</v>
      </c>
      <c r="D499" s="163"/>
      <c r="E499" s="154">
        <v>0</v>
      </c>
      <c r="F499" s="117">
        <f>IF(E497&lt;6,"",((E497-6)/12)*(G497/E497))</f>
        <v>0</v>
      </c>
      <c r="G499" s="97">
        <f>F499</f>
        <v>0</v>
      </c>
      <c r="H499" s="164"/>
      <c r="I499" s="101" t="s">
        <v>517</v>
      </c>
      <c r="J499" s="101" t="str">
        <f>VLOOKUP(I499,Presupuesto!$B$11:$C$565,2,0)</f>
        <v>DECIMOCUARTO MES</v>
      </c>
      <c r="K499" s="98" t="str">
        <f t="shared" si="19"/>
        <v>Posgrado</v>
      </c>
      <c r="L499" s="98" t="s">
        <v>393</v>
      </c>
    </row>
    <row r="500" spans="3:12" ht="15.75" thickBot="1" x14ac:dyDescent="0.3">
      <c r="C500" s="137" t="s">
        <v>481</v>
      </c>
      <c r="D500" s="199"/>
      <c r="E500" s="152">
        <v>12</v>
      </c>
      <c r="F500" s="303">
        <f>HLOOKUP($C500,$BZ$2:$CM$3,2,0)</f>
        <v>39703.99</v>
      </c>
      <c r="G500" s="113">
        <f>D500*E500*F500</f>
        <v>0</v>
      </c>
      <c r="H500" s="166"/>
      <c r="I500" s="114" t="s">
        <v>494</v>
      </c>
      <c r="J500" s="114" t="str">
        <f>VLOOKUP(I500,Presupuesto!$B$11:$C$565,2,0)</f>
        <v>SUELDOS Y SALARIOS PERMANENTES</v>
      </c>
      <c r="K500" s="98" t="str">
        <f t="shared" si="19"/>
        <v>Posgrado</v>
      </c>
      <c r="L500" s="98" t="s">
        <v>393</v>
      </c>
    </row>
    <row r="501" spans="3:12" x14ac:dyDescent="0.25">
      <c r="C501" s="171" t="s">
        <v>58</v>
      </c>
      <c r="D501" s="163"/>
      <c r="E501" s="154">
        <v>0</v>
      </c>
      <c r="F501" s="100">
        <f>IF(E500=0,"",(G500/E500)/12*E500)</f>
        <v>0</v>
      </c>
      <c r="G501" s="97">
        <f>F501</f>
        <v>0</v>
      </c>
      <c r="H501" s="164"/>
      <c r="I501" s="116" t="s">
        <v>514</v>
      </c>
      <c r="J501" s="116" t="str">
        <f>VLOOKUP(I501,Presupuesto!$B$11:$C$565,2,0)</f>
        <v>AGUINALDO Y DECIMO CUARTO MES</v>
      </c>
      <c r="K501" s="98" t="str">
        <f t="shared" si="19"/>
        <v>Posgrado</v>
      </c>
      <c r="L501" s="98" t="s">
        <v>393</v>
      </c>
    </row>
    <row r="502" spans="3:12" ht="15.75" thickBot="1" x14ac:dyDescent="0.3">
      <c r="C502" s="172" t="s">
        <v>59</v>
      </c>
      <c r="D502" s="163"/>
      <c r="E502" s="154">
        <v>0</v>
      </c>
      <c r="F502" s="117">
        <f>IF(E500&lt;6,"",((E500-6)/12)*(G500/E500))</f>
        <v>0</v>
      </c>
      <c r="G502" s="97">
        <f>F502</f>
        <v>0</v>
      </c>
      <c r="H502" s="164"/>
      <c r="I502" s="101" t="s">
        <v>517</v>
      </c>
      <c r="J502" s="101" t="str">
        <f>VLOOKUP(I502,Presupuesto!$B$11:$C$565,2,0)</f>
        <v>DECIMOCUARTO MES</v>
      </c>
      <c r="K502" s="98" t="str">
        <f t="shared" si="19"/>
        <v>Posgrado</v>
      </c>
      <c r="L502" s="98" t="s">
        <v>393</v>
      </c>
    </row>
    <row r="503" spans="3:12" ht="15.75" thickBot="1" x14ac:dyDescent="0.3">
      <c r="C503" s="137" t="s">
        <v>482</v>
      </c>
      <c r="D503" s="199"/>
      <c r="E503" s="152">
        <v>12</v>
      </c>
      <c r="F503" s="303">
        <f>HLOOKUP($C503,$BZ$2:$CM$3,2,0)</f>
        <v>35733.589999999997</v>
      </c>
      <c r="G503" s="113">
        <f>D503*E503*F503</f>
        <v>0</v>
      </c>
      <c r="H503" s="166"/>
      <c r="I503" s="114" t="s">
        <v>494</v>
      </c>
      <c r="J503" s="114" t="str">
        <f>VLOOKUP(I503,Presupuesto!$B$11:$C$565,2,0)</f>
        <v>SUELDOS Y SALARIOS PERMANENTES</v>
      </c>
      <c r="K503" s="98" t="str">
        <f t="shared" si="19"/>
        <v>Posgrado</v>
      </c>
      <c r="L503" s="98" t="s">
        <v>393</v>
      </c>
    </row>
    <row r="504" spans="3:12" x14ac:dyDescent="0.25">
      <c r="C504" s="171" t="s">
        <v>58</v>
      </c>
      <c r="D504" s="163"/>
      <c r="E504" s="154">
        <v>0</v>
      </c>
      <c r="F504" s="100">
        <f>IF(E503=0,"",(G503/E503)/12*E503)</f>
        <v>0</v>
      </c>
      <c r="G504" s="97">
        <f>F504</f>
        <v>0</v>
      </c>
      <c r="H504" s="164"/>
      <c r="I504" s="116" t="s">
        <v>514</v>
      </c>
      <c r="J504" s="116" t="str">
        <f>VLOOKUP(I504,Presupuesto!$B$11:$C$565,2,0)</f>
        <v>AGUINALDO Y DECIMO CUARTO MES</v>
      </c>
      <c r="K504" s="98" t="str">
        <f t="shared" si="19"/>
        <v>Posgrado</v>
      </c>
      <c r="L504" s="98" t="s">
        <v>393</v>
      </c>
    </row>
    <row r="505" spans="3:12" ht="15.75" thickBot="1" x14ac:dyDescent="0.3">
      <c r="C505" s="172" t="s">
        <v>59</v>
      </c>
      <c r="D505" s="163"/>
      <c r="E505" s="154">
        <v>0</v>
      </c>
      <c r="F505" s="117">
        <f>IF(E503&lt;6,"",((E503-6)/12)*(G503/E503))</f>
        <v>0</v>
      </c>
      <c r="G505" s="97">
        <f>F505</f>
        <v>0</v>
      </c>
      <c r="H505" s="164"/>
      <c r="I505" s="101" t="s">
        <v>517</v>
      </c>
      <c r="J505" s="101" t="str">
        <f>VLOOKUP(I505,Presupuesto!$B$11:$C$565,2,0)</f>
        <v>DECIMOCUARTO MES</v>
      </c>
      <c r="K505" s="98" t="str">
        <f t="shared" si="19"/>
        <v>Posgrado</v>
      </c>
      <c r="L505" s="98" t="s">
        <v>393</v>
      </c>
    </row>
    <row r="506" spans="3:12" ht="15.75" thickBot="1" x14ac:dyDescent="0.3">
      <c r="C506" s="137" t="s">
        <v>483</v>
      </c>
      <c r="D506" s="199"/>
      <c r="E506" s="152">
        <v>12</v>
      </c>
      <c r="F506" s="303">
        <f>HLOOKUP($C506,$BZ$2:$CM$3,2,0)</f>
        <v>31763.19</v>
      </c>
      <c r="G506" s="113">
        <f>D506*E506*F506</f>
        <v>0</v>
      </c>
      <c r="H506" s="166"/>
      <c r="I506" s="114" t="s">
        <v>494</v>
      </c>
      <c r="J506" s="114" t="str">
        <f>VLOOKUP(I506,Presupuesto!$B$11:$C$565,2,0)</f>
        <v>SUELDOS Y SALARIOS PERMANENTES</v>
      </c>
      <c r="K506" s="98" t="str">
        <f t="shared" si="19"/>
        <v>Posgrado</v>
      </c>
      <c r="L506" s="98" t="s">
        <v>393</v>
      </c>
    </row>
    <row r="507" spans="3:12" x14ac:dyDescent="0.25">
      <c r="C507" s="171" t="s">
        <v>58</v>
      </c>
      <c r="D507" s="163"/>
      <c r="E507" s="154">
        <v>0</v>
      </c>
      <c r="F507" s="100">
        <f>IF(E506=0,"",(G506/E506)/12*E506)</f>
        <v>0</v>
      </c>
      <c r="G507" s="97">
        <f>F507</f>
        <v>0</v>
      </c>
      <c r="H507" s="164"/>
      <c r="I507" s="116" t="s">
        <v>514</v>
      </c>
      <c r="J507" s="116" t="str">
        <f>VLOOKUP(I507,Presupuesto!$B$11:$C$565,2,0)</f>
        <v>AGUINALDO Y DECIMO CUARTO MES</v>
      </c>
      <c r="K507" s="98" t="str">
        <f t="shared" si="19"/>
        <v>Posgrado</v>
      </c>
      <c r="L507" s="98" t="s">
        <v>393</v>
      </c>
    </row>
    <row r="508" spans="3:12" ht="15.75" thickBot="1" x14ac:dyDescent="0.3">
      <c r="C508" s="172" t="s">
        <v>59</v>
      </c>
      <c r="D508" s="163"/>
      <c r="E508" s="154">
        <v>0</v>
      </c>
      <c r="F508" s="117">
        <f>IF(E506&lt;6,"",((E506-6)/12)*(G506/E506))</f>
        <v>0</v>
      </c>
      <c r="G508" s="97">
        <f>F508</f>
        <v>0</v>
      </c>
      <c r="H508" s="164"/>
      <c r="I508" s="101" t="s">
        <v>517</v>
      </c>
      <c r="J508" s="101" t="str">
        <f>VLOOKUP(I508,Presupuesto!$B$11:$C$565,2,0)</f>
        <v>DECIMOCUARTO MES</v>
      </c>
      <c r="K508" s="98" t="str">
        <f t="shared" si="19"/>
        <v>Posgrado</v>
      </c>
      <c r="L508" s="98" t="s">
        <v>393</v>
      </c>
    </row>
    <row r="509" spans="3:12" ht="15.75" thickBot="1" x14ac:dyDescent="0.3">
      <c r="C509" s="137" t="s">
        <v>484</v>
      </c>
      <c r="D509" s="199"/>
      <c r="E509" s="152">
        <v>12</v>
      </c>
      <c r="F509" s="303">
        <f>HLOOKUP($C509,$BZ$2:$CM$3,2,0)</f>
        <v>29777.99</v>
      </c>
      <c r="G509" s="113">
        <f>D509*E509*F509</f>
        <v>0</v>
      </c>
      <c r="H509" s="166"/>
      <c r="I509" s="114" t="s">
        <v>494</v>
      </c>
      <c r="J509" s="114" t="str">
        <f>VLOOKUP(I509,Presupuesto!$B$11:$C$565,2,0)</f>
        <v>SUELDOS Y SALARIOS PERMANENTES</v>
      </c>
      <c r="K509" s="98" t="str">
        <f t="shared" si="19"/>
        <v>Posgrado</v>
      </c>
      <c r="L509" s="98" t="s">
        <v>393</v>
      </c>
    </row>
    <row r="510" spans="3:12" x14ac:dyDescent="0.25">
      <c r="C510" s="171" t="s">
        <v>58</v>
      </c>
      <c r="D510" s="163"/>
      <c r="E510" s="154">
        <v>0</v>
      </c>
      <c r="F510" s="100">
        <f>IF(E509=0,"",(G509/E509)/12*E509)</f>
        <v>0</v>
      </c>
      <c r="G510" s="97">
        <f>F510</f>
        <v>0</v>
      </c>
      <c r="H510" s="164"/>
      <c r="I510" s="116" t="s">
        <v>514</v>
      </c>
      <c r="J510" s="116" t="str">
        <f>VLOOKUP(I510,Presupuesto!$B$11:$C$565,2,0)</f>
        <v>AGUINALDO Y DECIMO CUARTO MES</v>
      </c>
      <c r="K510" s="98" t="str">
        <f t="shared" si="19"/>
        <v>Posgrado</v>
      </c>
      <c r="L510" s="98" t="s">
        <v>393</v>
      </c>
    </row>
    <row r="511" spans="3:12" ht="15.75" thickBot="1" x14ac:dyDescent="0.3">
      <c r="C511" s="172" t="s">
        <v>59</v>
      </c>
      <c r="D511" s="163"/>
      <c r="E511" s="154">
        <v>0</v>
      </c>
      <c r="F511" s="117">
        <f>IF(E509&lt;6,"",((E509-6)/12)*(G509/E509))</f>
        <v>0</v>
      </c>
      <c r="G511" s="97">
        <f>F511</f>
        <v>0</v>
      </c>
      <c r="H511" s="164"/>
      <c r="I511" s="101" t="s">
        <v>517</v>
      </c>
      <c r="J511" s="101" t="str">
        <f>VLOOKUP(I511,Presupuesto!$B$11:$C$565,2,0)</f>
        <v>DECIMOCUARTO MES</v>
      </c>
      <c r="K511" s="98" t="str">
        <f t="shared" si="19"/>
        <v>Posgrado</v>
      </c>
      <c r="L511" s="98" t="s">
        <v>393</v>
      </c>
    </row>
    <row r="512" spans="3:12" ht="15.75" thickBot="1" x14ac:dyDescent="0.3">
      <c r="C512" s="137" t="s">
        <v>485</v>
      </c>
      <c r="D512" s="199"/>
      <c r="E512" s="152">
        <v>12</v>
      </c>
      <c r="F512" s="303">
        <f>HLOOKUP($C512,$BZ$2:$CM$3,2,0)</f>
        <v>27792.79</v>
      </c>
      <c r="G512" s="113">
        <f>D512*E512*F512</f>
        <v>0</v>
      </c>
      <c r="H512" s="166"/>
      <c r="I512" s="114" t="s">
        <v>494</v>
      </c>
      <c r="J512" s="114" t="str">
        <f>VLOOKUP(I512,Presupuesto!$B$11:$C$565,2,0)</f>
        <v>SUELDOS Y SALARIOS PERMANENTES</v>
      </c>
      <c r="K512" s="98" t="str">
        <f t="shared" si="19"/>
        <v>Posgrado</v>
      </c>
      <c r="L512" s="98" t="s">
        <v>393</v>
      </c>
    </row>
    <row r="513" spans="3:12" x14ac:dyDescent="0.25">
      <c r="C513" s="171" t="s">
        <v>58</v>
      </c>
      <c r="D513" s="163"/>
      <c r="E513" s="154">
        <v>0</v>
      </c>
      <c r="F513" s="100">
        <f>IF(E512=0,"",(G512/E512)/12*E512)</f>
        <v>0</v>
      </c>
      <c r="G513" s="97">
        <f>F513</f>
        <v>0</v>
      </c>
      <c r="H513" s="164"/>
      <c r="I513" s="116" t="s">
        <v>514</v>
      </c>
      <c r="J513" s="116" t="str">
        <f>VLOOKUP(I513,Presupuesto!$B$11:$C$565,2,0)</f>
        <v>AGUINALDO Y DECIMO CUARTO MES</v>
      </c>
      <c r="K513" s="98" t="str">
        <f t="shared" si="19"/>
        <v>Posgrado</v>
      </c>
      <c r="L513" s="98" t="s">
        <v>393</v>
      </c>
    </row>
    <row r="514" spans="3:12" ht="15.75" thickBot="1" x14ac:dyDescent="0.3">
      <c r="C514" s="172" t="s">
        <v>59</v>
      </c>
      <c r="D514" s="163"/>
      <c r="E514" s="154">
        <v>0</v>
      </c>
      <c r="F514" s="117">
        <f>IF(E512&lt;6,"",((E512-6)/12)*(G512/E512))</f>
        <v>0</v>
      </c>
      <c r="G514" s="97">
        <f>F514</f>
        <v>0</v>
      </c>
      <c r="H514" s="164"/>
      <c r="I514" s="101" t="s">
        <v>517</v>
      </c>
      <c r="J514" s="101" t="str">
        <f>VLOOKUP(I514,Presupuesto!$B$11:$C$565,2,0)</f>
        <v>DECIMOCUARTO MES</v>
      </c>
      <c r="K514" s="98" t="str">
        <f t="shared" si="19"/>
        <v>Posgrado</v>
      </c>
      <c r="L514" s="98" t="s">
        <v>393</v>
      </c>
    </row>
    <row r="515" spans="3:12" ht="15.75" thickBot="1" x14ac:dyDescent="0.3">
      <c r="C515" s="137" t="s">
        <v>486</v>
      </c>
      <c r="D515" s="199"/>
      <c r="E515" s="152">
        <v>12</v>
      </c>
      <c r="F515" s="303">
        <f>HLOOKUP($C515,$BZ$2:$CM$3,2,0)</f>
        <v>18859.39</v>
      </c>
      <c r="G515" s="113">
        <f>D515*E515*F515</f>
        <v>0</v>
      </c>
      <c r="H515" s="166"/>
      <c r="I515" s="114" t="s">
        <v>494</v>
      </c>
      <c r="J515" s="114" t="str">
        <f>VLOOKUP(I515,Presupuesto!$B$11:$C$565,2,0)</f>
        <v>SUELDOS Y SALARIOS PERMANENTES</v>
      </c>
      <c r="K515" s="98" t="str">
        <f t="shared" si="19"/>
        <v>Posgrado</v>
      </c>
      <c r="L515" s="98" t="s">
        <v>393</v>
      </c>
    </row>
    <row r="516" spans="3:12" x14ac:dyDescent="0.25">
      <c r="C516" s="171" t="s">
        <v>58</v>
      </c>
      <c r="D516" s="163"/>
      <c r="E516" s="154">
        <v>0</v>
      </c>
      <c r="F516" s="100">
        <f>IF(E515=0,"",(G515/E515)/12*E515)</f>
        <v>0</v>
      </c>
      <c r="G516" s="97">
        <f>F516</f>
        <v>0</v>
      </c>
      <c r="H516" s="164"/>
      <c r="I516" s="116" t="s">
        <v>514</v>
      </c>
      <c r="J516" s="116" t="str">
        <f>VLOOKUP(I516,Presupuesto!$B$11:$C$565,2,0)</f>
        <v>AGUINALDO Y DECIMO CUARTO MES</v>
      </c>
      <c r="K516" s="98" t="str">
        <f t="shared" si="19"/>
        <v>Posgrado</v>
      </c>
      <c r="L516" s="98" t="s">
        <v>393</v>
      </c>
    </row>
    <row r="517" spans="3:12" ht="15.75" thickBot="1" x14ac:dyDescent="0.3">
      <c r="C517" s="172" t="s">
        <v>59</v>
      </c>
      <c r="D517" s="163"/>
      <c r="E517" s="154">
        <v>0</v>
      </c>
      <c r="F517" s="117">
        <f>IF(E515&lt;6,"",((E515-6)/12)*(G515/E515))</f>
        <v>0</v>
      </c>
      <c r="G517" s="97">
        <f>F517</f>
        <v>0</v>
      </c>
      <c r="H517" s="164"/>
      <c r="I517" s="101" t="s">
        <v>517</v>
      </c>
      <c r="J517" s="101" t="str">
        <f>VLOOKUP(I517,Presupuesto!$B$11:$C$565,2,0)</f>
        <v>DECIMOCUARTO MES</v>
      </c>
      <c r="K517" s="98" t="str">
        <f t="shared" si="19"/>
        <v>Posgrado</v>
      </c>
      <c r="L517" s="98" t="s">
        <v>393</v>
      </c>
    </row>
    <row r="518" spans="3:12" ht="15.75" thickBot="1" x14ac:dyDescent="0.3">
      <c r="C518" s="137" t="s">
        <v>487</v>
      </c>
      <c r="D518" s="199"/>
      <c r="E518" s="152">
        <v>12</v>
      </c>
      <c r="F518" s="303">
        <f>HLOOKUP($C518,$BZ$2:$CM$3,2,0)</f>
        <v>17866.8</v>
      </c>
      <c r="G518" s="113">
        <f>D518*E518*F518</f>
        <v>0</v>
      </c>
      <c r="H518" s="166"/>
      <c r="I518" s="114" t="s">
        <v>494</v>
      </c>
      <c r="J518" s="114" t="str">
        <f>VLOOKUP(I518,Presupuesto!$B$11:$C$565,2,0)</f>
        <v>SUELDOS Y SALARIOS PERMANENTES</v>
      </c>
      <c r="K518" s="98" t="str">
        <f t="shared" si="19"/>
        <v>Posgrado</v>
      </c>
      <c r="L518" s="98" t="s">
        <v>393</v>
      </c>
    </row>
    <row r="519" spans="3:12" x14ac:dyDescent="0.25">
      <c r="C519" s="171" t="s">
        <v>58</v>
      </c>
      <c r="D519" s="163"/>
      <c r="E519" s="154">
        <v>0</v>
      </c>
      <c r="F519" s="100">
        <f>IF(E518=0,"",(G518/E518)/12*E518)</f>
        <v>0</v>
      </c>
      <c r="G519" s="97">
        <f>F519</f>
        <v>0</v>
      </c>
      <c r="H519" s="164"/>
      <c r="I519" s="116" t="s">
        <v>514</v>
      </c>
      <c r="J519" s="116" t="str">
        <f>VLOOKUP(I519,Presupuesto!$B$11:$C$565,2,0)</f>
        <v>AGUINALDO Y DECIMO CUARTO MES</v>
      </c>
      <c r="K519" s="98" t="str">
        <f t="shared" si="19"/>
        <v>Posgrado</v>
      </c>
      <c r="L519" s="98" t="s">
        <v>393</v>
      </c>
    </row>
    <row r="520" spans="3:12" ht="15.75" thickBot="1" x14ac:dyDescent="0.3">
      <c r="C520" s="172" t="s">
        <v>59</v>
      </c>
      <c r="D520" s="163"/>
      <c r="E520" s="154">
        <v>0</v>
      </c>
      <c r="F520" s="117">
        <f>IF(E518&lt;6,"",((E518-6)/12)*(G518/E518))</f>
        <v>0</v>
      </c>
      <c r="G520" s="97">
        <f>F520</f>
        <v>0</v>
      </c>
      <c r="H520" s="164"/>
      <c r="I520" s="101" t="s">
        <v>517</v>
      </c>
      <c r="J520" s="101" t="str">
        <f>VLOOKUP(I520,Presupuesto!$B$11:$C$565,2,0)</f>
        <v>DECIMOCUARTO MES</v>
      </c>
      <c r="K520" s="98" t="str">
        <f t="shared" si="19"/>
        <v>Posgrado</v>
      </c>
      <c r="L520" s="98" t="s">
        <v>393</v>
      </c>
    </row>
    <row r="521" spans="3:12" ht="15.75" thickBot="1" x14ac:dyDescent="0.3">
      <c r="C521" s="137" t="s">
        <v>488</v>
      </c>
      <c r="D521" s="199"/>
      <c r="E521" s="152">
        <v>12</v>
      </c>
      <c r="F521" s="303">
        <f>HLOOKUP($C521,$BZ$2:$CM$3,2,0)</f>
        <v>13896.4</v>
      </c>
      <c r="G521" s="113">
        <f>D521*E521*F521</f>
        <v>0</v>
      </c>
      <c r="H521" s="166"/>
      <c r="I521" s="114" t="s">
        <v>494</v>
      </c>
      <c r="J521" s="114" t="str">
        <f>VLOOKUP(I521,Presupuesto!$B$11:$C$565,2,0)</f>
        <v>SUELDOS Y SALARIOS PERMANENTES</v>
      </c>
      <c r="K521" s="98" t="str">
        <f t="shared" si="19"/>
        <v>Posgrado</v>
      </c>
      <c r="L521" s="98" t="s">
        <v>393</v>
      </c>
    </row>
    <row r="522" spans="3:12" x14ac:dyDescent="0.25">
      <c r="C522" s="171" t="s">
        <v>58</v>
      </c>
      <c r="D522" s="163"/>
      <c r="E522" s="154">
        <v>0</v>
      </c>
      <c r="F522" s="100">
        <f>IF(E521=0,"",(G521/E521)/12*E521)</f>
        <v>0</v>
      </c>
      <c r="G522" s="97">
        <f>F522</f>
        <v>0</v>
      </c>
      <c r="H522" s="164"/>
      <c r="I522" s="116" t="s">
        <v>514</v>
      </c>
      <c r="J522" s="116" t="str">
        <f>VLOOKUP(I522,Presupuesto!$B$11:$C$565,2,0)</f>
        <v>AGUINALDO Y DECIMO CUARTO MES</v>
      </c>
      <c r="K522" s="98" t="str">
        <f t="shared" si="19"/>
        <v>Posgrado</v>
      </c>
      <c r="L522" s="98" t="s">
        <v>393</v>
      </c>
    </row>
    <row r="523" spans="3:12" ht="15.75" thickBot="1" x14ac:dyDescent="0.3">
      <c r="C523" s="172" t="s">
        <v>59</v>
      </c>
      <c r="D523" s="163"/>
      <c r="E523" s="154">
        <v>0</v>
      </c>
      <c r="F523" s="117">
        <f>IF(E521&lt;6,"",((E521-6)/12)*(G521/E521))</f>
        <v>0</v>
      </c>
      <c r="G523" s="97">
        <f>F523</f>
        <v>0</v>
      </c>
      <c r="H523" s="164"/>
      <c r="I523" s="101" t="s">
        <v>517</v>
      </c>
      <c r="J523" s="101" t="str">
        <f>VLOOKUP(I523,Presupuesto!$B$11:$C$565,2,0)</f>
        <v>DECIMOCUARTO MES</v>
      </c>
      <c r="K523" s="98" t="str">
        <f t="shared" si="19"/>
        <v>Posgrado</v>
      </c>
      <c r="L523" s="98" t="s">
        <v>393</v>
      </c>
    </row>
    <row r="524" spans="3:12" ht="15.75" thickBot="1" x14ac:dyDescent="0.3">
      <c r="C524" s="137" t="s">
        <v>489</v>
      </c>
      <c r="D524" s="199"/>
      <c r="E524" s="152">
        <v>12</v>
      </c>
      <c r="F524" s="303">
        <f>HLOOKUP($C524,$BZ$2:$CM$3,2,0)</f>
        <v>15004.09</v>
      </c>
      <c r="G524" s="113">
        <f>D524*E524*F524</f>
        <v>0</v>
      </c>
      <c r="H524" s="166"/>
      <c r="I524" s="114" t="s">
        <v>494</v>
      </c>
      <c r="J524" s="114" t="str">
        <f>VLOOKUP(I524,Presupuesto!$B$11:$C$565,2,0)</f>
        <v>SUELDOS Y SALARIOS PERMANENTES</v>
      </c>
      <c r="K524" s="98" t="str">
        <f t="shared" si="19"/>
        <v>Posgrado</v>
      </c>
      <c r="L524" s="98" t="s">
        <v>393</v>
      </c>
    </row>
    <row r="525" spans="3:12" x14ac:dyDescent="0.25">
      <c r="C525" s="171" t="s">
        <v>58</v>
      </c>
      <c r="D525" s="163"/>
      <c r="E525" s="154">
        <v>0</v>
      </c>
      <c r="F525" s="100">
        <f>IF(E524=0,"",(G524/E524)/12*E524)</f>
        <v>0</v>
      </c>
      <c r="G525" s="97">
        <f>F525</f>
        <v>0</v>
      </c>
      <c r="H525" s="164"/>
      <c r="I525" s="116" t="s">
        <v>514</v>
      </c>
      <c r="J525" s="116" t="str">
        <f>VLOOKUP(I525,Presupuesto!$B$11:$C$565,2,0)</f>
        <v>AGUINALDO Y DECIMO CUARTO MES</v>
      </c>
      <c r="K525" s="98" t="str">
        <f t="shared" si="19"/>
        <v>Posgrado</v>
      </c>
      <c r="L525" s="98" t="s">
        <v>393</v>
      </c>
    </row>
    <row r="526" spans="3:12" ht="15.75" thickBot="1" x14ac:dyDescent="0.3">
      <c r="C526" s="172" t="s">
        <v>59</v>
      </c>
      <c r="D526" s="163"/>
      <c r="E526" s="154">
        <v>0</v>
      </c>
      <c r="F526" s="117">
        <f>IF(E524&lt;6,"",((E524-6)/12)*(G524/E524))</f>
        <v>0</v>
      </c>
      <c r="G526" s="97">
        <f>F526</f>
        <v>0</v>
      </c>
      <c r="H526" s="164"/>
      <c r="I526" s="101" t="s">
        <v>517</v>
      </c>
      <c r="J526" s="101" t="str">
        <f>VLOOKUP(I526,Presupuesto!$B$11:$C$565,2,0)</f>
        <v>DECIMOCUARTO MES</v>
      </c>
      <c r="K526" s="98" t="str">
        <f t="shared" si="19"/>
        <v>Posgrado</v>
      </c>
      <c r="L526" s="98" t="s">
        <v>393</v>
      </c>
    </row>
    <row r="527" spans="3:12" ht="15.75" thickBot="1" x14ac:dyDescent="0.3">
      <c r="C527" s="137" t="s">
        <v>490</v>
      </c>
      <c r="D527" s="199"/>
      <c r="E527" s="152">
        <v>12</v>
      </c>
      <c r="F527" s="303">
        <f>HLOOKUP($C527,$BZ$2:$CM$3,2,0)</f>
        <v>13238.9</v>
      </c>
      <c r="G527" s="113">
        <f>D527*E527*F527</f>
        <v>0</v>
      </c>
      <c r="H527" s="166"/>
      <c r="I527" s="114" t="s">
        <v>494</v>
      </c>
      <c r="J527" s="114" t="str">
        <f>VLOOKUP(I527,Presupuesto!$B$11:$C$565,2,0)</f>
        <v>SUELDOS Y SALARIOS PERMANENTES</v>
      </c>
      <c r="K527" s="98" t="str">
        <f t="shared" si="19"/>
        <v>Posgrado</v>
      </c>
      <c r="L527" s="98" t="s">
        <v>393</v>
      </c>
    </row>
    <row r="528" spans="3:12" x14ac:dyDescent="0.25">
      <c r="C528" s="171" t="s">
        <v>58</v>
      </c>
      <c r="D528" s="163"/>
      <c r="E528" s="154">
        <v>0</v>
      </c>
      <c r="F528" s="100">
        <f>IF(E527=0,"",(G527/E527)/12*E527)</f>
        <v>0</v>
      </c>
      <c r="G528" s="97">
        <f>F528</f>
        <v>0</v>
      </c>
      <c r="H528" s="164"/>
      <c r="I528" s="116" t="s">
        <v>514</v>
      </c>
      <c r="J528" s="116" t="str">
        <f>VLOOKUP(I528,Presupuesto!$B$11:$C$565,2,0)</f>
        <v>AGUINALDO Y DECIMO CUARTO MES</v>
      </c>
      <c r="K528" s="98" t="str">
        <f t="shared" si="19"/>
        <v>Posgrado</v>
      </c>
      <c r="L528" s="98" t="s">
        <v>393</v>
      </c>
    </row>
    <row r="529" spans="3:12" ht="15.75" thickBot="1" x14ac:dyDescent="0.3">
      <c r="C529" s="172" t="s">
        <v>59</v>
      </c>
      <c r="D529" s="163"/>
      <c r="E529" s="154">
        <v>0</v>
      </c>
      <c r="F529" s="117">
        <f>IF(E527&lt;6,"",((E527-6)/12)*(G527/E527))</f>
        <v>0</v>
      </c>
      <c r="G529" s="97">
        <f>F529</f>
        <v>0</v>
      </c>
      <c r="H529" s="164"/>
      <c r="I529" s="101" t="s">
        <v>517</v>
      </c>
      <c r="J529" s="101" t="str">
        <f>VLOOKUP(I529,Presupuesto!$B$11:$C$565,2,0)</f>
        <v>DECIMOCUARTO MES</v>
      </c>
      <c r="K529" s="98" t="str">
        <f t="shared" si="19"/>
        <v>Posgrado</v>
      </c>
      <c r="L529" s="98" t="s">
        <v>393</v>
      </c>
    </row>
    <row r="530" spans="3:12" ht="15.75" thickBot="1" x14ac:dyDescent="0.3">
      <c r="C530" s="137" t="s">
        <v>491</v>
      </c>
      <c r="D530" s="199"/>
      <c r="E530" s="152">
        <v>12</v>
      </c>
      <c r="F530" s="303">
        <f>HLOOKUP($C530,$BZ$2:$CM$3,2,0)</f>
        <v>12356.31</v>
      </c>
      <c r="G530" s="113">
        <f>D530*E530*F530</f>
        <v>0</v>
      </c>
      <c r="H530" s="166"/>
      <c r="I530" s="114" t="s">
        <v>494</v>
      </c>
      <c r="J530" s="114" t="str">
        <f>VLOOKUP(I530,Presupuesto!$B$11:$C$565,2,0)</f>
        <v>SUELDOS Y SALARIOS PERMANENTES</v>
      </c>
      <c r="K530" s="98" t="str">
        <f t="shared" ref="K530:K547" si="20">$K$497</f>
        <v>Posgrado</v>
      </c>
      <c r="L530" s="98" t="s">
        <v>393</v>
      </c>
    </row>
    <row r="531" spans="3:12" x14ac:dyDescent="0.25">
      <c r="C531" s="171" t="s">
        <v>58</v>
      </c>
      <c r="D531" s="163"/>
      <c r="E531" s="154">
        <v>0</v>
      </c>
      <c r="F531" s="100">
        <f>IF(E530=0,"",(G530/E530)/12*E530)</f>
        <v>0</v>
      </c>
      <c r="G531" s="97">
        <f>F531</f>
        <v>0</v>
      </c>
      <c r="H531" s="164"/>
      <c r="I531" s="116" t="s">
        <v>514</v>
      </c>
      <c r="J531" s="116" t="str">
        <f>VLOOKUP(I531,Presupuesto!$B$11:$C$565,2,0)</f>
        <v>AGUINALDO Y DECIMO CUARTO MES</v>
      </c>
      <c r="K531" s="98" t="str">
        <f t="shared" si="20"/>
        <v>Posgrado</v>
      </c>
      <c r="L531" s="98" t="s">
        <v>393</v>
      </c>
    </row>
    <row r="532" spans="3:12" ht="15.75" thickBot="1" x14ac:dyDescent="0.3">
      <c r="C532" s="172" t="s">
        <v>59</v>
      </c>
      <c r="D532" s="163"/>
      <c r="E532" s="154">
        <v>0</v>
      </c>
      <c r="F532" s="117">
        <f>IF(E530&lt;6,"",((E530-6)/12)*(G530/E530))</f>
        <v>0</v>
      </c>
      <c r="G532" s="97">
        <f>F532</f>
        <v>0</v>
      </c>
      <c r="H532" s="164"/>
      <c r="I532" s="101" t="s">
        <v>517</v>
      </c>
      <c r="J532" s="101" t="str">
        <f>VLOOKUP(I532,Presupuesto!$B$11:$C$565,2,0)</f>
        <v>DECIMOCUARTO MES</v>
      </c>
      <c r="K532" s="98" t="str">
        <f t="shared" si="20"/>
        <v>Posgrado</v>
      </c>
      <c r="L532" s="98" t="s">
        <v>393</v>
      </c>
    </row>
    <row r="533" spans="3:12" ht="15.75" thickBot="1" x14ac:dyDescent="0.3">
      <c r="C533" s="137" t="s">
        <v>492</v>
      </c>
      <c r="D533" s="199"/>
      <c r="E533" s="152">
        <v>12</v>
      </c>
      <c r="F533" s="303">
        <f>HLOOKUP($C533,$BZ$2:$CM$3,2,0)</f>
        <v>463.22</v>
      </c>
      <c r="G533" s="113">
        <f>D533*E533*F533</f>
        <v>0</v>
      </c>
      <c r="H533" s="166"/>
      <c r="I533" s="114" t="s">
        <v>494</v>
      </c>
      <c r="J533" s="114" t="str">
        <f>VLOOKUP(I533,Presupuesto!$B$11:$C$565,2,0)</f>
        <v>SUELDOS Y SALARIOS PERMANENTES</v>
      </c>
      <c r="K533" s="98" t="str">
        <f t="shared" si="20"/>
        <v>Posgrado</v>
      </c>
      <c r="L533" s="98" t="s">
        <v>393</v>
      </c>
    </row>
    <row r="534" spans="3:12" x14ac:dyDescent="0.25">
      <c r="C534" s="171" t="s">
        <v>58</v>
      </c>
      <c r="D534" s="163"/>
      <c r="E534" s="154">
        <v>0</v>
      </c>
      <c r="F534" s="100">
        <f>IF(E533=0,"",(G533/E533)/12*E533)</f>
        <v>0</v>
      </c>
      <c r="G534" s="97">
        <f>F534</f>
        <v>0</v>
      </c>
      <c r="H534" s="164"/>
      <c r="I534" s="116" t="s">
        <v>514</v>
      </c>
      <c r="J534" s="116" t="str">
        <f>VLOOKUP(I534,Presupuesto!$B$11:$C$565,2,0)</f>
        <v>AGUINALDO Y DECIMO CUARTO MES</v>
      </c>
      <c r="K534" s="98" t="str">
        <f t="shared" si="20"/>
        <v>Posgrado</v>
      </c>
      <c r="L534" s="98" t="s">
        <v>393</v>
      </c>
    </row>
    <row r="535" spans="3:12" ht="15.75" thickBot="1" x14ac:dyDescent="0.3">
      <c r="C535" s="172" t="s">
        <v>59</v>
      </c>
      <c r="D535" s="163"/>
      <c r="E535" s="154">
        <v>0</v>
      </c>
      <c r="F535" s="117">
        <f>IF(E533&lt;6,"",((E533-6)/12)*(G533/E533))</f>
        <v>0</v>
      </c>
      <c r="G535" s="97">
        <f>F535</f>
        <v>0</v>
      </c>
      <c r="H535" s="164"/>
      <c r="I535" s="101" t="s">
        <v>517</v>
      </c>
      <c r="J535" s="101" t="str">
        <f>VLOOKUP(I535,Presupuesto!$B$11:$C$565,2,0)</f>
        <v>DECIMOCUARTO MES</v>
      </c>
      <c r="K535" s="98" t="str">
        <f t="shared" si="20"/>
        <v>Posgrado</v>
      </c>
      <c r="L535" s="98" t="s">
        <v>393</v>
      </c>
    </row>
    <row r="536" spans="3:12" ht="15.75" thickBot="1" x14ac:dyDescent="0.3">
      <c r="C536" s="137" t="s">
        <v>493</v>
      </c>
      <c r="D536" s="199"/>
      <c r="E536" s="152">
        <v>12</v>
      </c>
      <c r="F536" s="303">
        <f>HLOOKUP($C536,$BZ$2:$CM$3,2,0)</f>
        <v>2007.3</v>
      </c>
      <c r="G536" s="113">
        <f>D536*E536*F536</f>
        <v>0</v>
      </c>
      <c r="H536" s="166"/>
      <c r="I536" s="114" t="s">
        <v>494</v>
      </c>
      <c r="J536" s="114" t="str">
        <f>VLOOKUP(I536,Presupuesto!$B$11:$C$565,2,0)</f>
        <v>SUELDOS Y SALARIOS PERMANENTES</v>
      </c>
      <c r="K536" s="98" t="str">
        <f t="shared" si="20"/>
        <v>Posgrado</v>
      </c>
      <c r="L536" s="98" t="s">
        <v>393</v>
      </c>
    </row>
    <row r="537" spans="3:12" x14ac:dyDescent="0.25">
      <c r="C537" s="171" t="s">
        <v>58</v>
      </c>
      <c r="D537" s="163"/>
      <c r="E537" s="154">
        <v>0</v>
      </c>
      <c r="F537" s="100">
        <f>IF(E536=0,"",(G536/E536)/12*E536)</f>
        <v>0</v>
      </c>
      <c r="G537" s="97">
        <f>F537</f>
        <v>0</v>
      </c>
      <c r="H537" s="164"/>
      <c r="I537" s="116" t="s">
        <v>514</v>
      </c>
      <c r="J537" s="116" t="str">
        <f>VLOOKUP(I537,Presupuesto!$B$11:$C$565,2,0)</f>
        <v>AGUINALDO Y DECIMO CUARTO MES</v>
      </c>
      <c r="K537" s="98" t="str">
        <f t="shared" si="20"/>
        <v>Posgrado</v>
      </c>
      <c r="L537" s="98" t="s">
        <v>393</v>
      </c>
    </row>
    <row r="538" spans="3:12" ht="15.75" thickBot="1" x14ac:dyDescent="0.3">
      <c r="C538" s="172" t="s">
        <v>59</v>
      </c>
      <c r="D538" s="163"/>
      <c r="E538" s="154">
        <v>0</v>
      </c>
      <c r="F538" s="117">
        <f>IF(E536&lt;6,"",((E536-6)/12)*(G536/E536))</f>
        <v>0</v>
      </c>
      <c r="G538" s="97">
        <f>F538</f>
        <v>0</v>
      </c>
      <c r="H538" s="164"/>
      <c r="I538" s="101" t="s">
        <v>517</v>
      </c>
      <c r="J538" s="101" t="str">
        <f>VLOOKUP(I538,Presupuesto!$B$11:$C$565,2,0)</f>
        <v>DECIMOCUARTO MES</v>
      </c>
      <c r="K538" s="98" t="str">
        <f t="shared" si="20"/>
        <v>Posgrado</v>
      </c>
      <c r="L538" s="98" t="s">
        <v>393</v>
      </c>
    </row>
    <row r="539" spans="3:12" ht="15.75" thickBot="1" x14ac:dyDescent="0.3">
      <c r="C539" s="140" t="s">
        <v>83</v>
      </c>
      <c r="D539" s="199"/>
      <c r="E539" s="152">
        <v>12</v>
      </c>
      <c r="F539" s="139">
        <v>30000</v>
      </c>
      <c r="G539" s="113">
        <f>D539*E539*F539</f>
        <v>0</v>
      </c>
      <c r="H539" s="166"/>
      <c r="I539" s="114" t="s">
        <v>562</v>
      </c>
      <c r="J539" s="114" t="str">
        <f>VLOOKUP(I539,Presupuesto!$B$11:$C$565,2,0)</f>
        <v>CONTRATOS ESPECIALES</v>
      </c>
      <c r="K539" s="98" t="str">
        <f t="shared" si="20"/>
        <v>Posgrado</v>
      </c>
      <c r="L539" s="98" t="s">
        <v>393</v>
      </c>
    </row>
    <row r="540" spans="3:12" x14ac:dyDescent="0.25">
      <c r="C540" s="171" t="s">
        <v>58</v>
      </c>
      <c r="D540" s="163"/>
      <c r="E540" s="154">
        <v>0</v>
      </c>
      <c r="F540" s="117">
        <f>IF(E539=0,"",(G539/E539)/12*E539)</f>
        <v>0</v>
      </c>
      <c r="G540" s="97">
        <f>F540</f>
        <v>0</v>
      </c>
      <c r="H540" s="164"/>
      <c r="I540" s="101" t="s">
        <v>562</v>
      </c>
      <c r="J540" s="101" t="str">
        <f>VLOOKUP(I540,Presupuesto!$B$11:$C$565,2,0)</f>
        <v>CONTRATOS ESPECIALES</v>
      </c>
      <c r="K540" s="98" t="str">
        <f t="shared" si="20"/>
        <v>Posgrado</v>
      </c>
      <c r="L540" s="98" t="s">
        <v>392</v>
      </c>
    </row>
    <row r="541" spans="3:12" ht="15.75" thickBot="1" x14ac:dyDescent="0.3">
      <c r="C541" s="172" t="s">
        <v>59</v>
      </c>
      <c r="D541" s="163"/>
      <c r="E541" s="154">
        <v>0</v>
      </c>
      <c r="F541" s="100">
        <f>IF(E539&lt;6,"",((E539-6)/12)*(G539/E539))</f>
        <v>0</v>
      </c>
      <c r="G541" s="97">
        <f>F541</f>
        <v>0</v>
      </c>
      <c r="H541" s="164"/>
      <c r="I541" s="101" t="s">
        <v>562</v>
      </c>
      <c r="J541" s="101" t="str">
        <f>VLOOKUP(I541,Presupuesto!$B$11:$C$565,2,0)</f>
        <v>CONTRATOS ESPECIALES</v>
      </c>
      <c r="K541" s="98" t="str">
        <f t="shared" si="20"/>
        <v>Posgrado</v>
      </c>
      <c r="L541" s="98" t="s">
        <v>397</v>
      </c>
    </row>
    <row r="542" spans="3:12" ht="15.75" thickBot="1" x14ac:dyDescent="0.3">
      <c r="C542" s="140" t="s">
        <v>60</v>
      </c>
      <c r="D542" s="199"/>
      <c r="E542" s="152">
        <v>12</v>
      </c>
      <c r="F542" s="118">
        <v>30000</v>
      </c>
      <c r="G542" s="113">
        <f>D542*E542*F542</f>
        <v>0</v>
      </c>
      <c r="H542" s="166"/>
      <c r="I542" s="114" t="s">
        <v>703</v>
      </c>
      <c r="J542" s="114" t="str">
        <f>VLOOKUP(I542,Presupuesto!$B$11:$C$565,2,0)</f>
        <v>OTROS SERVICIOS TECNICOS Y PROFESIONALES</v>
      </c>
      <c r="K542" s="98" t="str">
        <f t="shared" si="20"/>
        <v>Posgrado</v>
      </c>
      <c r="L542" s="98" t="s">
        <v>392</v>
      </c>
    </row>
    <row r="543" spans="3:12" x14ac:dyDescent="0.25">
      <c r="C543" s="171" t="s">
        <v>58</v>
      </c>
      <c r="D543" s="163"/>
      <c r="E543" s="154">
        <v>0</v>
      </c>
      <c r="F543" s="100">
        <v>0</v>
      </c>
      <c r="G543" s="97">
        <f>F543</f>
        <v>0</v>
      </c>
      <c r="H543" s="164"/>
      <c r="I543" s="101" t="s">
        <v>703</v>
      </c>
      <c r="J543" s="101" t="str">
        <f>VLOOKUP(I543,Presupuesto!$B$11:$C$565,2,0)</f>
        <v>OTROS SERVICIOS TECNICOS Y PROFESIONALES</v>
      </c>
      <c r="K543" s="98" t="str">
        <f t="shared" si="20"/>
        <v>Posgrado</v>
      </c>
      <c r="L543" s="98" t="s">
        <v>392</v>
      </c>
    </row>
    <row r="544" spans="3:12" ht="15.75" thickBot="1" x14ac:dyDescent="0.3">
      <c r="C544" s="172" t="s">
        <v>59</v>
      </c>
      <c r="D544" s="163"/>
      <c r="E544" s="154">
        <v>0</v>
      </c>
      <c r="F544" s="100">
        <v>0</v>
      </c>
      <c r="G544" s="97">
        <f>F544</f>
        <v>0</v>
      </c>
      <c r="H544" s="164"/>
      <c r="I544" s="101" t="s">
        <v>703</v>
      </c>
      <c r="J544" s="101" t="str">
        <f>VLOOKUP(I544,Presupuesto!$B$11:$C$565,2,0)</f>
        <v>OTROS SERVICIOS TECNICOS Y PROFESIONALES</v>
      </c>
      <c r="K544" s="98" t="str">
        <f t="shared" si="20"/>
        <v>Posgrado</v>
      </c>
      <c r="L544" s="98" t="s">
        <v>392</v>
      </c>
    </row>
    <row r="545" spans="3:12" ht="15.75" thickBot="1" x14ac:dyDescent="0.3">
      <c r="C545" s="140" t="s">
        <v>61</v>
      </c>
      <c r="D545" s="199"/>
      <c r="E545" s="152">
        <v>12</v>
      </c>
      <c r="F545" s="118">
        <v>30000</v>
      </c>
      <c r="G545" s="113">
        <f>D545*E545*F545</f>
        <v>0</v>
      </c>
      <c r="H545" s="166"/>
      <c r="I545" s="114" t="s">
        <v>494</v>
      </c>
      <c r="J545" s="114" t="str">
        <f>VLOOKUP(I545,Presupuesto!$B$11:$C$565,2,0)</f>
        <v>SUELDOS Y SALARIOS PERMANENTES</v>
      </c>
      <c r="K545" s="98" t="str">
        <f t="shared" si="20"/>
        <v>Posgrado</v>
      </c>
      <c r="L545" s="98" t="s">
        <v>392</v>
      </c>
    </row>
    <row r="546" spans="3:12" x14ac:dyDescent="0.25">
      <c r="C546" s="171" t="s">
        <v>58</v>
      </c>
      <c r="D546" s="169"/>
      <c r="E546" s="131">
        <v>0</v>
      </c>
      <c r="F546" s="119">
        <f>IF(E545=0,"",(G545/E545)/12*E545)</f>
        <v>0</v>
      </c>
      <c r="G546" s="120">
        <f>F546</f>
        <v>0</v>
      </c>
      <c r="H546" s="164"/>
      <c r="I546" s="101" t="s">
        <v>514</v>
      </c>
      <c r="J546" s="101" t="str">
        <f>VLOOKUP(I546,Presupuesto!$B$11:$C$565,2,0)</f>
        <v>AGUINALDO Y DECIMO CUARTO MES</v>
      </c>
      <c r="K546" s="98" t="str">
        <f t="shared" si="20"/>
        <v>Posgrado</v>
      </c>
      <c r="L546" s="98" t="s">
        <v>392</v>
      </c>
    </row>
    <row r="547" spans="3:12" ht="15.75" thickBot="1" x14ac:dyDescent="0.3">
      <c r="C547" s="173" t="s">
        <v>59</v>
      </c>
      <c r="D547" s="162"/>
      <c r="E547" s="132">
        <v>0</v>
      </c>
      <c r="F547" s="105">
        <f>IF(E545&lt;6,"",((E545-6)/12)*(G545/E545))</f>
        <v>0</v>
      </c>
      <c r="G547" s="105">
        <f>F547</f>
        <v>0</v>
      </c>
      <c r="H547" s="162"/>
      <c r="I547" s="106" t="s">
        <v>517</v>
      </c>
      <c r="J547" s="124" t="str">
        <f>VLOOKUP(I547,Presupuesto!$B$11:$C$565,2,0)</f>
        <v>DECIMOCUARTO MES</v>
      </c>
      <c r="K547" s="106" t="str">
        <f t="shared" si="20"/>
        <v>Posgrado</v>
      </c>
      <c r="L547" s="124" t="s">
        <v>392</v>
      </c>
    </row>
    <row r="549" spans="3:12" ht="15.75" thickBot="1" x14ac:dyDescent="0.3">
      <c r="K549" s="153"/>
    </row>
    <row r="550" spans="3:12" ht="15.75" thickBot="1" x14ac:dyDescent="0.3">
      <c r="C550" s="69" t="s">
        <v>43</v>
      </c>
      <c r="D550" s="30">
        <f>SUM(G557:G607)</f>
        <v>0</v>
      </c>
      <c r="E550" s="93"/>
      <c r="F550" s="93"/>
      <c r="G550" s="93"/>
      <c r="H550" s="76"/>
      <c r="I550" s="76"/>
      <c r="J550" s="76"/>
      <c r="K550" s="153"/>
    </row>
    <row r="551" spans="3:12" x14ac:dyDescent="0.25">
      <c r="D551" s="31"/>
      <c r="E551" s="93"/>
      <c r="F551" s="93"/>
      <c r="G551" s="93"/>
      <c r="H551" s="76"/>
      <c r="I551" s="76"/>
      <c r="J551" s="76"/>
      <c r="K551" s="153"/>
    </row>
    <row r="552" spans="3:12" x14ac:dyDescent="0.25">
      <c r="D552" s="31"/>
      <c r="E552" s="93"/>
      <c r="F552" s="93"/>
      <c r="G552" s="93"/>
      <c r="H552" s="76"/>
      <c r="I552" s="76"/>
      <c r="J552" s="76"/>
      <c r="K552" s="153"/>
    </row>
    <row r="553" spans="3:12" ht="15.75" x14ac:dyDescent="0.25">
      <c r="C553" s="202" t="s">
        <v>390</v>
      </c>
      <c r="D553" s="368"/>
      <c r="E553" s="93"/>
      <c r="F553" s="93"/>
      <c r="G553" s="93"/>
      <c r="H553" s="76"/>
      <c r="I553" s="76"/>
      <c r="J553" s="76"/>
      <c r="K553" s="153"/>
    </row>
    <row r="554" spans="3:12" ht="18.75" x14ac:dyDescent="0.25">
      <c r="C554" s="210" t="e">
        <f>IFERROR(VLOOKUP(D553,'1. Desarrollo e Innov. Curricu.'!$F:$G,2,FALSE),IFERROR(VLOOKUP(D553,'2. Investigación Científica'!$F:$G,2,FALSE),IFERROR(VLOOKUP(D553,'3. Vinculación Univ. Sociedad'!$F:$G,2,FALSE),IFERROR(VLOOKUP(D553,'4. Docencia y Profesorado Univ.'!$F:$G,2,FALSE),IFERROR(VLOOKUP(D553,'5. Estudiantes y Graduados'!$F:$G,2,FALSE),IFERROR(VLOOKUP(D553,'11. Gestion Administrativa'!$F:$G,2,FALSE),IFERROR(VLOOKUP(D553,'13. Gestión Académica'!$F:$G,2,FALSE),IFERROR(VLOOKUP(D553,'9. Asegura. de la Calid. y M'!$F:$G,2,FALSE),IFERROR(VLOOKUP(D553,'6. Gestión del Conocimiento'!$F:$G,2,FALSE),IFERROR(VLOOKUP(D553,'15. Gobernabilidad y Proceso...'!$G:$H,2,FALSE),IFERROR(VLOOKUP(D553,'12. Gestión del Talento Humano'!$F:$G,2,FALSE),IFERROR(VLOOKUP(D553,'14. Internacional... de la E.S.'!$F:$G,2,FALSE),IFERROR(VLOOKUP(D553,'10. Posgrado'!$F:$G,2,FALSE),IFERROR(VLOOKUP(D553,'17. Gestión TIC'!$F:$G,2,FALSE),IFERROR(VLOOKUP(D553,'16. Desa. del Sistema Educ.Sup.'!$F:$G,2,FALSE),IFERROR(VLOOKUP(D553,'8. Cultura de Inno. Insti...'!$F:$G,2,FALSE),VLOOKUP(D553,'7. Lo Esencial de la Reforma U.'!$G:$H,2,0)))))))))))))))))</f>
        <v>#N/A</v>
      </c>
      <c r="D554" s="31"/>
      <c r="E554" s="93"/>
      <c r="F554" s="93"/>
      <c r="G554" s="93"/>
      <c r="H554" s="76"/>
      <c r="I554" s="76"/>
      <c r="J554" s="76"/>
      <c r="K554" s="153"/>
    </row>
    <row r="555" spans="3:12" ht="15.75" thickBot="1" x14ac:dyDescent="0.3">
      <c r="C555" s="177"/>
      <c r="D555" s="31"/>
      <c r="E555" s="93"/>
      <c r="F555" s="93"/>
      <c r="G555" s="93"/>
      <c r="H555" s="76"/>
      <c r="I555" s="76"/>
      <c r="J555" s="76"/>
      <c r="K555" s="153"/>
    </row>
    <row r="556" spans="3:12" ht="30.75" thickBot="1" x14ac:dyDescent="0.3">
      <c r="C556" s="134" t="s">
        <v>44</v>
      </c>
      <c r="D556" s="138" t="s">
        <v>55</v>
      </c>
      <c r="E556" s="170" t="s">
        <v>56</v>
      </c>
      <c r="F556" s="138" t="s">
        <v>57</v>
      </c>
      <c r="G556" s="135" t="s">
        <v>27</v>
      </c>
      <c r="H556" s="133" t="s">
        <v>129</v>
      </c>
      <c r="I556" s="136" t="s">
        <v>46</v>
      </c>
      <c r="J556" s="136" t="s">
        <v>130</v>
      </c>
      <c r="K556" s="136" t="s">
        <v>408</v>
      </c>
      <c r="L556" s="136" t="s">
        <v>409</v>
      </c>
    </row>
    <row r="557" spans="3:12" ht="15.75" thickBot="1" x14ac:dyDescent="0.3">
      <c r="C557" s="137" t="s">
        <v>480</v>
      </c>
      <c r="D557" s="199"/>
      <c r="E557" s="152">
        <v>12</v>
      </c>
      <c r="F557" s="303">
        <f>HLOOKUP($C557,$BZ$2:$CM$3,2,0)</f>
        <v>43674.39</v>
      </c>
      <c r="G557" s="113">
        <f>D557*E557*F557</f>
        <v>0</v>
      </c>
      <c r="H557" s="166"/>
      <c r="I557" s="114" t="s">
        <v>494</v>
      </c>
      <c r="J557" s="114" t="str">
        <f>VLOOKUP(I557,Presupuesto!$B$11:$C$565,2,0)</f>
        <v>SUELDOS Y SALARIOS PERMANENTES</v>
      </c>
      <c r="K557" s="218" t="s">
        <v>1443</v>
      </c>
      <c r="L557" s="98" t="s">
        <v>392</v>
      </c>
    </row>
    <row r="558" spans="3:12" x14ac:dyDescent="0.25">
      <c r="C558" s="171" t="s">
        <v>58</v>
      </c>
      <c r="D558" s="163"/>
      <c r="E558" s="154">
        <v>0</v>
      </c>
      <c r="F558" s="100">
        <f>IF(E557=0,"",(G557/E557)/12*E557)</f>
        <v>0</v>
      </c>
      <c r="G558" s="97">
        <f>F558</f>
        <v>0</v>
      </c>
      <c r="H558" s="164"/>
      <c r="I558" s="116" t="s">
        <v>514</v>
      </c>
      <c r="J558" s="116" t="str">
        <f>VLOOKUP(I558,Presupuesto!$B$11:$C$565,2,0)</f>
        <v>AGUINALDO Y DECIMO CUARTO MES</v>
      </c>
      <c r="K558" s="98" t="str">
        <f t="shared" ref="K558:K589" si="21">$K$557</f>
        <v>Posgrado</v>
      </c>
      <c r="L558" s="98" t="s">
        <v>410</v>
      </c>
    </row>
    <row r="559" spans="3:12" ht="15.75" thickBot="1" x14ac:dyDescent="0.3">
      <c r="C559" s="172" t="s">
        <v>59</v>
      </c>
      <c r="D559" s="163"/>
      <c r="E559" s="154">
        <v>0</v>
      </c>
      <c r="F559" s="117">
        <f>IF(E557&lt;6,"",((E557-6)/12)*(G557/E557))</f>
        <v>0</v>
      </c>
      <c r="G559" s="97">
        <f>F559</f>
        <v>0</v>
      </c>
      <c r="H559" s="164"/>
      <c r="I559" s="101" t="s">
        <v>517</v>
      </c>
      <c r="J559" s="101" t="str">
        <f>VLOOKUP(I559,Presupuesto!$B$11:$C$565,2,0)</f>
        <v>DECIMOCUARTO MES</v>
      </c>
      <c r="K559" s="98" t="str">
        <f t="shared" si="21"/>
        <v>Posgrado</v>
      </c>
      <c r="L559" s="98" t="s">
        <v>393</v>
      </c>
    </row>
    <row r="560" spans="3:12" ht="15.75" thickBot="1" x14ac:dyDescent="0.3">
      <c r="C560" s="137" t="s">
        <v>481</v>
      </c>
      <c r="D560" s="199"/>
      <c r="E560" s="152">
        <v>12</v>
      </c>
      <c r="F560" s="303">
        <f>HLOOKUP($C560,$BZ$2:$CM$3,2,0)</f>
        <v>39703.99</v>
      </c>
      <c r="G560" s="113">
        <f>D560*E560*F560</f>
        <v>0</v>
      </c>
      <c r="H560" s="166"/>
      <c r="I560" s="114" t="s">
        <v>494</v>
      </c>
      <c r="J560" s="114" t="str">
        <f>VLOOKUP(I560,Presupuesto!$B$11:$C$565,2,0)</f>
        <v>SUELDOS Y SALARIOS PERMANENTES</v>
      </c>
      <c r="K560" s="98" t="str">
        <f t="shared" si="21"/>
        <v>Posgrado</v>
      </c>
      <c r="L560" s="98" t="s">
        <v>393</v>
      </c>
    </row>
    <row r="561" spans="3:12" x14ac:dyDescent="0.25">
      <c r="C561" s="171" t="s">
        <v>58</v>
      </c>
      <c r="D561" s="163"/>
      <c r="E561" s="154">
        <v>0</v>
      </c>
      <c r="F561" s="100">
        <f>IF(E560=0,"",(G560/E560)/12*E560)</f>
        <v>0</v>
      </c>
      <c r="G561" s="97">
        <f>F561</f>
        <v>0</v>
      </c>
      <c r="H561" s="164"/>
      <c r="I561" s="116" t="s">
        <v>514</v>
      </c>
      <c r="J561" s="116" t="str">
        <f>VLOOKUP(I561,Presupuesto!$B$11:$C$565,2,0)</f>
        <v>AGUINALDO Y DECIMO CUARTO MES</v>
      </c>
      <c r="K561" s="98" t="str">
        <f t="shared" si="21"/>
        <v>Posgrado</v>
      </c>
      <c r="L561" s="98" t="s">
        <v>393</v>
      </c>
    </row>
    <row r="562" spans="3:12" ht="15.75" thickBot="1" x14ac:dyDescent="0.3">
      <c r="C562" s="172" t="s">
        <v>59</v>
      </c>
      <c r="D562" s="163"/>
      <c r="E562" s="154">
        <v>0</v>
      </c>
      <c r="F562" s="117">
        <f>IF(E560&lt;6,"",((E560-6)/12)*(G560/E560))</f>
        <v>0</v>
      </c>
      <c r="G562" s="97">
        <f>F562</f>
        <v>0</v>
      </c>
      <c r="H562" s="164"/>
      <c r="I562" s="101" t="s">
        <v>517</v>
      </c>
      <c r="J562" s="101" t="str">
        <f>VLOOKUP(I562,Presupuesto!$B$11:$C$565,2,0)</f>
        <v>DECIMOCUARTO MES</v>
      </c>
      <c r="K562" s="98" t="str">
        <f t="shared" si="21"/>
        <v>Posgrado</v>
      </c>
      <c r="L562" s="98" t="s">
        <v>393</v>
      </c>
    </row>
    <row r="563" spans="3:12" ht="15.75" thickBot="1" x14ac:dyDescent="0.3">
      <c r="C563" s="137" t="s">
        <v>482</v>
      </c>
      <c r="D563" s="199"/>
      <c r="E563" s="152">
        <v>12</v>
      </c>
      <c r="F563" s="303">
        <f>HLOOKUP($C563,$BZ$2:$CM$3,2,0)</f>
        <v>35733.589999999997</v>
      </c>
      <c r="G563" s="113">
        <f>D563*E563*F563</f>
        <v>0</v>
      </c>
      <c r="H563" s="166"/>
      <c r="I563" s="114" t="s">
        <v>494</v>
      </c>
      <c r="J563" s="114" t="str">
        <f>VLOOKUP(I563,Presupuesto!$B$11:$C$565,2,0)</f>
        <v>SUELDOS Y SALARIOS PERMANENTES</v>
      </c>
      <c r="K563" s="98" t="str">
        <f t="shared" si="21"/>
        <v>Posgrado</v>
      </c>
      <c r="L563" s="98" t="s">
        <v>393</v>
      </c>
    </row>
    <row r="564" spans="3:12" x14ac:dyDescent="0.25">
      <c r="C564" s="171" t="s">
        <v>58</v>
      </c>
      <c r="D564" s="163"/>
      <c r="E564" s="154">
        <v>0</v>
      </c>
      <c r="F564" s="100">
        <f>IF(E563=0,"",(G563/E563)/12*E563)</f>
        <v>0</v>
      </c>
      <c r="G564" s="97">
        <f>F564</f>
        <v>0</v>
      </c>
      <c r="H564" s="164"/>
      <c r="I564" s="116" t="s">
        <v>514</v>
      </c>
      <c r="J564" s="116" t="str">
        <f>VLOOKUP(I564,Presupuesto!$B$11:$C$565,2,0)</f>
        <v>AGUINALDO Y DECIMO CUARTO MES</v>
      </c>
      <c r="K564" s="98" t="str">
        <f t="shared" si="21"/>
        <v>Posgrado</v>
      </c>
      <c r="L564" s="98" t="s">
        <v>393</v>
      </c>
    </row>
    <row r="565" spans="3:12" ht="15.75" thickBot="1" x14ac:dyDescent="0.3">
      <c r="C565" s="172" t="s">
        <v>59</v>
      </c>
      <c r="D565" s="163"/>
      <c r="E565" s="154">
        <v>0</v>
      </c>
      <c r="F565" s="117">
        <f>IF(E563&lt;6,"",((E563-6)/12)*(G563/E563))</f>
        <v>0</v>
      </c>
      <c r="G565" s="97">
        <f>F565</f>
        <v>0</v>
      </c>
      <c r="H565" s="164"/>
      <c r="I565" s="101" t="s">
        <v>517</v>
      </c>
      <c r="J565" s="101" t="str">
        <f>VLOOKUP(I565,Presupuesto!$B$11:$C$565,2,0)</f>
        <v>DECIMOCUARTO MES</v>
      </c>
      <c r="K565" s="98" t="str">
        <f t="shared" si="21"/>
        <v>Posgrado</v>
      </c>
      <c r="L565" s="98" t="s">
        <v>393</v>
      </c>
    </row>
    <row r="566" spans="3:12" ht="15.75" thickBot="1" x14ac:dyDescent="0.3">
      <c r="C566" s="137" t="s">
        <v>483</v>
      </c>
      <c r="D566" s="199"/>
      <c r="E566" s="152">
        <v>12</v>
      </c>
      <c r="F566" s="303">
        <f>HLOOKUP($C566,$BZ$2:$CM$3,2,0)</f>
        <v>31763.19</v>
      </c>
      <c r="G566" s="113">
        <f>D566*E566*F566</f>
        <v>0</v>
      </c>
      <c r="H566" s="166"/>
      <c r="I566" s="114" t="s">
        <v>494</v>
      </c>
      <c r="J566" s="114" t="str">
        <f>VLOOKUP(I566,Presupuesto!$B$11:$C$565,2,0)</f>
        <v>SUELDOS Y SALARIOS PERMANENTES</v>
      </c>
      <c r="K566" s="98" t="str">
        <f t="shared" si="21"/>
        <v>Posgrado</v>
      </c>
      <c r="L566" s="98" t="s">
        <v>393</v>
      </c>
    </row>
    <row r="567" spans="3:12" x14ac:dyDescent="0.25">
      <c r="C567" s="171" t="s">
        <v>58</v>
      </c>
      <c r="D567" s="163"/>
      <c r="E567" s="154">
        <v>0</v>
      </c>
      <c r="F567" s="100">
        <f>IF(E566=0,"",(G566/E566)/12*E566)</f>
        <v>0</v>
      </c>
      <c r="G567" s="97">
        <f>F567</f>
        <v>0</v>
      </c>
      <c r="H567" s="164"/>
      <c r="I567" s="116" t="s">
        <v>514</v>
      </c>
      <c r="J567" s="116" t="str">
        <f>VLOOKUP(I567,Presupuesto!$B$11:$C$565,2,0)</f>
        <v>AGUINALDO Y DECIMO CUARTO MES</v>
      </c>
      <c r="K567" s="98" t="str">
        <f t="shared" si="21"/>
        <v>Posgrado</v>
      </c>
      <c r="L567" s="98" t="s">
        <v>393</v>
      </c>
    </row>
    <row r="568" spans="3:12" ht="15.75" thickBot="1" x14ac:dyDescent="0.3">
      <c r="C568" s="172" t="s">
        <v>59</v>
      </c>
      <c r="D568" s="163"/>
      <c r="E568" s="154">
        <v>0</v>
      </c>
      <c r="F568" s="117">
        <f>IF(E566&lt;6,"",((E566-6)/12)*(G566/E566))</f>
        <v>0</v>
      </c>
      <c r="G568" s="97">
        <f>F568</f>
        <v>0</v>
      </c>
      <c r="H568" s="164"/>
      <c r="I568" s="101" t="s">
        <v>517</v>
      </c>
      <c r="J568" s="101" t="str">
        <f>VLOOKUP(I568,Presupuesto!$B$11:$C$565,2,0)</f>
        <v>DECIMOCUARTO MES</v>
      </c>
      <c r="K568" s="98" t="str">
        <f t="shared" si="21"/>
        <v>Posgrado</v>
      </c>
      <c r="L568" s="98" t="s">
        <v>393</v>
      </c>
    </row>
    <row r="569" spans="3:12" ht="15.75" thickBot="1" x14ac:dyDescent="0.3">
      <c r="C569" s="137" t="s">
        <v>484</v>
      </c>
      <c r="D569" s="199"/>
      <c r="E569" s="152">
        <v>12</v>
      </c>
      <c r="F569" s="303">
        <f>HLOOKUP($C569,$BZ$2:$CM$3,2,0)</f>
        <v>29777.99</v>
      </c>
      <c r="G569" s="113">
        <f>D569*E569*F569</f>
        <v>0</v>
      </c>
      <c r="H569" s="166"/>
      <c r="I569" s="114" t="s">
        <v>494</v>
      </c>
      <c r="J569" s="114" t="str">
        <f>VLOOKUP(I569,Presupuesto!$B$11:$C$565,2,0)</f>
        <v>SUELDOS Y SALARIOS PERMANENTES</v>
      </c>
      <c r="K569" s="98" t="str">
        <f t="shared" si="21"/>
        <v>Posgrado</v>
      </c>
      <c r="L569" s="98" t="s">
        <v>393</v>
      </c>
    </row>
    <row r="570" spans="3:12" x14ac:dyDescent="0.25">
      <c r="C570" s="171" t="s">
        <v>58</v>
      </c>
      <c r="D570" s="163"/>
      <c r="E570" s="154">
        <v>0</v>
      </c>
      <c r="F570" s="100">
        <f>IF(E569=0,"",(G569/E569)/12*E569)</f>
        <v>0</v>
      </c>
      <c r="G570" s="97">
        <f>F570</f>
        <v>0</v>
      </c>
      <c r="H570" s="164"/>
      <c r="I570" s="116" t="s">
        <v>514</v>
      </c>
      <c r="J570" s="116" t="str">
        <f>VLOOKUP(I570,Presupuesto!$B$11:$C$565,2,0)</f>
        <v>AGUINALDO Y DECIMO CUARTO MES</v>
      </c>
      <c r="K570" s="98" t="str">
        <f t="shared" si="21"/>
        <v>Posgrado</v>
      </c>
      <c r="L570" s="98" t="s">
        <v>393</v>
      </c>
    </row>
    <row r="571" spans="3:12" ht="15.75" thickBot="1" x14ac:dyDescent="0.3">
      <c r="C571" s="172" t="s">
        <v>59</v>
      </c>
      <c r="D571" s="163"/>
      <c r="E571" s="154">
        <v>0</v>
      </c>
      <c r="F571" s="117">
        <f>IF(E569&lt;6,"",((E569-6)/12)*(G569/E569))</f>
        <v>0</v>
      </c>
      <c r="G571" s="97">
        <f>F571</f>
        <v>0</v>
      </c>
      <c r="H571" s="164"/>
      <c r="I571" s="101" t="s">
        <v>517</v>
      </c>
      <c r="J571" s="101" t="str">
        <f>VLOOKUP(I571,Presupuesto!$B$11:$C$565,2,0)</f>
        <v>DECIMOCUARTO MES</v>
      </c>
      <c r="K571" s="98" t="str">
        <f t="shared" si="21"/>
        <v>Posgrado</v>
      </c>
      <c r="L571" s="98" t="s">
        <v>393</v>
      </c>
    </row>
    <row r="572" spans="3:12" ht="15.75" thickBot="1" x14ac:dyDescent="0.3">
      <c r="C572" s="137" t="s">
        <v>485</v>
      </c>
      <c r="D572" s="199"/>
      <c r="E572" s="152">
        <v>12</v>
      </c>
      <c r="F572" s="303">
        <f>HLOOKUP($C572,$BZ$2:$CM$3,2,0)</f>
        <v>27792.79</v>
      </c>
      <c r="G572" s="113">
        <f>D572*E572*F572</f>
        <v>0</v>
      </c>
      <c r="H572" s="166"/>
      <c r="I572" s="114" t="s">
        <v>494</v>
      </c>
      <c r="J572" s="114" t="str">
        <f>VLOOKUP(I572,Presupuesto!$B$11:$C$565,2,0)</f>
        <v>SUELDOS Y SALARIOS PERMANENTES</v>
      </c>
      <c r="K572" s="98" t="str">
        <f t="shared" si="21"/>
        <v>Posgrado</v>
      </c>
      <c r="L572" s="98" t="s">
        <v>393</v>
      </c>
    </row>
    <row r="573" spans="3:12" x14ac:dyDescent="0.25">
      <c r="C573" s="171" t="s">
        <v>58</v>
      </c>
      <c r="D573" s="163"/>
      <c r="E573" s="154">
        <v>0</v>
      </c>
      <c r="F573" s="100">
        <f>IF(E572=0,"",(G572/E572)/12*E572)</f>
        <v>0</v>
      </c>
      <c r="G573" s="97">
        <f>F573</f>
        <v>0</v>
      </c>
      <c r="H573" s="164"/>
      <c r="I573" s="116" t="s">
        <v>514</v>
      </c>
      <c r="J573" s="116" t="str">
        <f>VLOOKUP(I573,Presupuesto!$B$11:$C$565,2,0)</f>
        <v>AGUINALDO Y DECIMO CUARTO MES</v>
      </c>
      <c r="K573" s="98" t="str">
        <f t="shared" si="21"/>
        <v>Posgrado</v>
      </c>
      <c r="L573" s="98" t="s">
        <v>393</v>
      </c>
    </row>
    <row r="574" spans="3:12" ht="15.75" thickBot="1" x14ac:dyDescent="0.3">
      <c r="C574" s="172" t="s">
        <v>59</v>
      </c>
      <c r="D574" s="163"/>
      <c r="E574" s="154">
        <v>0</v>
      </c>
      <c r="F574" s="117">
        <f>IF(E572&lt;6,"",((E572-6)/12)*(G572/E572))</f>
        <v>0</v>
      </c>
      <c r="G574" s="97">
        <f>F574</f>
        <v>0</v>
      </c>
      <c r="H574" s="164"/>
      <c r="I574" s="101" t="s">
        <v>517</v>
      </c>
      <c r="J574" s="101" t="str">
        <f>VLOOKUP(I574,Presupuesto!$B$11:$C$565,2,0)</f>
        <v>DECIMOCUARTO MES</v>
      </c>
      <c r="K574" s="98" t="str">
        <f t="shared" si="21"/>
        <v>Posgrado</v>
      </c>
      <c r="L574" s="98" t="s">
        <v>393</v>
      </c>
    </row>
    <row r="575" spans="3:12" ht="15.75" thickBot="1" x14ac:dyDescent="0.3">
      <c r="C575" s="137" t="s">
        <v>486</v>
      </c>
      <c r="D575" s="199"/>
      <c r="E575" s="152">
        <v>12</v>
      </c>
      <c r="F575" s="303">
        <f>HLOOKUP($C575,$BZ$2:$CM$3,2,0)</f>
        <v>18859.39</v>
      </c>
      <c r="G575" s="113">
        <f>D575*E575*F575</f>
        <v>0</v>
      </c>
      <c r="H575" s="166"/>
      <c r="I575" s="114" t="s">
        <v>494</v>
      </c>
      <c r="J575" s="114" t="str">
        <f>VLOOKUP(I575,Presupuesto!$B$11:$C$565,2,0)</f>
        <v>SUELDOS Y SALARIOS PERMANENTES</v>
      </c>
      <c r="K575" s="98" t="str">
        <f t="shared" si="21"/>
        <v>Posgrado</v>
      </c>
      <c r="L575" s="98" t="s">
        <v>393</v>
      </c>
    </row>
    <row r="576" spans="3:12" x14ac:dyDescent="0.25">
      <c r="C576" s="171" t="s">
        <v>58</v>
      </c>
      <c r="D576" s="163"/>
      <c r="E576" s="154">
        <v>0</v>
      </c>
      <c r="F576" s="100">
        <f>IF(E575=0,"",(G575/E575)/12*E575)</f>
        <v>0</v>
      </c>
      <c r="G576" s="97">
        <f>F576</f>
        <v>0</v>
      </c>
      <c r="H576" s="164"/>
      <c r="I576" s="116" t="s">
        <v>514</v>
      </c>
      <c r="J576" s="116" t="str">
        <f>VLOOKUP(I576,Presupuesto!$B$11:$C$565,2,0)</f>
        <v>AGUINALDO Y DECIMO CUARTO MES</v>
      </c>
      <c r="K576" s="98" t="str">
        <f t="shared" si="21"/>
        <v>Posgrado</v>
      </c>
      <c r="L576" s="98" t="s">
        <v>393</v>
      </c>
    </row>
    <row r="577" spans="3:12" ht="15.75" thickBot="1" x14ac:dyDescent="0.3">
      <c r="C577" s="172" t="s">
        <v>59</v>
      </c>
      <c r="D577" s="163"/>
      <c r="E577" s="154">
        <v>0</v>
      </c>
      <c r="F577" s="117">
        <f>IF(E575&lt;6,"",((E575-6)/12)*(G575/E575))</f>
        <v>0</v>
      </c>
      <c r="G577" s="97">
        <f>F577</f>
        <v>0</v>
      </c>
      <c r="H577" s="164"/>
      <c r="I577" s="101" t="s">
        <v>517</v>
      </c>
      <c r="J577" s="101" t="str">
        <f>VLOOKUP(I577,Presupuesto!$B$11:$C$565,2,0)</f>
        <v>DECIMOCUARTO MES</v>
      </c>
      <c r="K577" s="98" t="str">
        <f t="shared" si="21"/>
        <v>Posgrado</v>
      </c>
      <c r="L577" s="98" t="s">
        <v>393</v>
      </c>
    </row>
    <row r="578" spans="3:12" ht="15.75" thickBot="1" x14ac:dyDescent="0.3">
      <c r="C578" s="137" t="s">
        <v>487</v>
      </c>
      <c r="D578" s="199"/>
      <c r="E578" s="152">
        <v>12</v>
      </c>
      <c r="F578" s="303">
        <f>HLOOKUP($C578,$BZ$2:$CM$3,2,0)</f>
        <v>17866.8</v>
      </c>
      <c r="G578" s="113">
        <f>D578*E578*F578</f>
        <v>0</v>
      </c>
      <c r="H578" s="166"/>
      <c r="I578" s="114" t="s">
        <v>494</v>
      </c>
      <c r="J578" s="114" t="str">
        <f>VLOOKUP(I578,Presupuesto!$B$11:$C$565,2,0)</f>
        <v>SUELDOS Y SALARIOS PERMANENTES</v>
      </c>
      <c r="K578" s="98" t="str">
        <f t="shared" si="21"/>
        <v>Posgrado</v>
      </c>
      <c r="L578" s="98" t="s">
        <v>393</v>
      </c>
    </row>
    <row r="579" spans="3:12" x14ac:dyDescent="0.25">
      <c r="C579" s="171" t="s">
        <v>58</v>
      </c>
      <c r="D579" s="163"/>
      <c r="E579" s="154">
        <v>0</v>
      </c>
      <c r="F579" s="100">
        <f>IF(E578=0,"",(G578/E578)/12*E578)</f>
        <v>0</v>
      </c>
      <c r="G579" s="97">
        <f>F579</f>
        <v>0</v>
      </c>
      <c r="H579" s="164"/>
      <c r="I579" s="116" t="s">
        <v>514</v>
      </c>
      <c r="J579" s="116" t="str">
        <f>VLOOKUP(I579,Presupuesto!$B$11:$C$565,2,0)</f>
        <v>AGUINALDO Y DECIMO CUARTO MES</v>
      </c>
      <c r="K579" s="98" t="str">
        <f t="shared" si="21"/>
        <v>Posgrado</v>
      </c>
      <c r="L579" s="98" t="s">
        <v>393</v>
      </c>
    </row>
    <row r="580" spans="3:12" ht="15.75" thickBot="1" x14ac:dyDescent="0.3">
      <c r="C580" s="172" t="s">
        <v>59</v>
      </c>
      <c r="D580" s="163"/>
      <c r="E580" s="154">
        <v>0</v>
      </c>
      <c r="F580" s="117">
        <f>IF(E578&lt;6,"",((E578-6)/12)*(G578/E578))</f>
        <v>0</v>
      </c>
      <c r="G580" s="97">
        <f>F580</f>
        <v>0</v>
      </c>
      <c r="H580" s="164"/>
      <c r="I580" s="101" t="s">
        <v>517</v>
      </c>
      <c r="J580" s="101" t="str">
        <f>VLOOKUP(I580,Presupuesto!$B$11:$C$565,2,0)</f>
        <v>DECIMOCUARTO MES</v>
      </c>
      <c r="K580" s="98" t="str">
        <f t="shared" si="21"/>
        <v>Posgrado</v>
      </c>
      <c r="L580" s="98" t="s">
        <v>393</v>
      </c>
    </row>
    <row r="581" spans="3:12" ht="15.75" thickBot="1" x14ac:dyDescent="0.3">
      <c r="C581" s="137" t="s">
        <v>488</v>
      </c>
      <c r="D581" s="199"/>
      <c r="E581" s="152">
        <v>12</v>
      </c>
      <c r="F581" s="303">
        <f>HLOOKUP($C581,$BZ$2:$CM$3,2,0)</f>
        <v>13896.4</v>
      </c>
      <c r="G581" s="113">
        <f>D581*E581*F581</f>
        <v>0</v>
      </c>
      <c r="H581" s="166"/>
      <c r="I581" s="114" t="s">
        <v>494</v>
      </c>
      <c r="J581" s="114" t="str">
        <f>VLOOKUP(I581,Presupuesto!$B$11:$C$565,2,0)</f>
        <v>SUELDOS Y SALARIOS PERMANENTES</v>
      </c>
      <c r="K581" s="98" t="str">
        <f t="shared" si="21"/>
        <v>Posgrado</v>
      </c>
      <c r="L581" s="98" t="s">
        <v>393</v>
      </c>
    </row>
    <row r="582" spans="3:12" x14ac:dyDescent="0.25">
      <c r="C582" s="171" t="s">
        <v>58</v>
      </c>
      <c r="D582" s="163"/>
      <c r="E582" s="154">
        <v>0</v>
      </c>
      <c r="F582" s="100">
        <f>IF(E581=0,"",(G581/E581)/12*E581)</f>
        <v>0</v>
      </c>
      <c r="G582" s="97">
        <f>F582</f>
        <v>0</v>
      </c>
      <c r="H582" s="164"/>
      <c r="I582" s="116" t="s">
        <v>514</v>
      </c>
      <c r="J582" s="116" t="str">
        <f>VLOOKUP(I582,Presupuesto!$B$11:$C$565,2,0)</f>
        <v>AGUINALDO Y DECIMO CUARTO MES</v>
      </c>
      <c r="K582" s="98" t="str">
        <f t="shared" si="21"/>
        <v>Posgrado</v>
      </c>
      <c r="L582" s="98" t="s">
        <v>393</v>
      </c>
    </row>
    <row r="583" spans="3:12" ht="15.75" thickBot="1" x14ac:dyDescent="0.3">
      <c r="C583" s="172" t="s">
        <v>59</v>
      </c>
      <c r="D583" s="163"/>
      <c r="E583" s="154">
        <v>0</v>
      </c>
      <c r="F583" s="117">
        <f>IF(E581&lt;6,"",((E581-6)/12)*(G581/E581))</f>
        <v>0</v>
      </c>
      <c r="G583" s="97">
        <f>F583</f>
        <v>0</v>
      </c>
      <c r="H583" s="164"/>
      <c r="I583" s="101" t="s">
        <v>517</v>
      </c>
      <c r="J583" s="101" t="str">
        <f>VLOOKUP(I583,Presupuesto!$B$11:$C$565,2,0)</f>
        <v>DECIMOCUARTO MES</v>
      </c>
      <c r="K583" s="98" t="str">
        <f t="shared" si="21"/>
        <v>Posgrado</v>
      </c>
      <c r="L583" s="98" t="s">
        <v>393</v>
      </c>
    </row>
    <row r="584" spans="3:12" ht="15.75" thickBot="1" x14ac:dyDescent="0.3">
      <c r="C584" s="137" t="s">
        <v>489</v>
      </c>
      <c r="D584" s="199"/>
      <c r="E584" s="152">
        <v>12</v>
      </c>
      <c r="F584" s="303">
        <f>HLOOKUP($C584,$BZ$2:$CM$3,2,0)</f>
        <v>15004.09</v>
      </c>
      <c r="G584" s="113">
        <f>D584*E584*F584</f>
        <v>0</v>
      </c>
      <c r="H584" s="166"/>
      <c r="I584" s="114" t="s">
        <v>494</v>
      </c>
      <c r="J584" s="114" t="str">
        <f>VLOOKUP(I584,Presupuesto!$B$11:$C$565,2,0)</f>
        <v>SUELDOS Y SALARIOS PERMANENTES</v>
      </c>
      <c r="K584" s="98" t="str">
        <f t="shared" si="21"/>
        <v>Posgrado</v>
      </c>
      <c r="L584" s="98" t="s">
        <v>393</v>
      </c>
    </row>
    <row r="585" spans="3:12" x14ac:dyDescent="0.25">
      <c r="C585" s="171" t="s">
        <v>58</v>
      </c>
      <c r="D585" s="163"/>
      <c r="E585" s="154">
        <v>0</v>
      </c>
      <c r="F585" s="100">
        <f>IF(E584=0,"",(G584/E584)/12*E584)</f>
        <v>0</v>
      </c>
      <c r="G585" s="97">
        <f>F585</f>
        <v>0</v>
      </c>
      <c r="H585" s="164"/>
      <c r="I585" s="116" t="s">
        <v>514</v>
      </c>
      <c r="J585" s="116" t="str">
        <f>VLOOKUP(I585,Presupuesto!$B$11:$C$565,2,0)</f>
        <v>AGUINALDO Y DECIMO CUARTO MES</v>
      </c>
      <c r="K585" s="98" t="str">
        <f t="shared" si="21"/>
        <v>Posgrado</v>
      </c>
      <c r="L585" s="98" t="s">
        <v>393</v>
      </c>
    </row>
    <row r="586" spans="3:12" ht="15.75" thickBot="1" x14ac:dyDescent="0.3">
      <c r="C586" s="172" t="s">
        <v>59</v>
      </c>
      <c r="D586" s="163"/>
      <c r="E586" s="154">
        <v>0</v>
      </c>
      <c r="F586" s="117">
        <f>IF(E584&lt;6,"",((E584-6)/12)*(G584/E584))</f>
        <v>0</v>
      </c>
      <c r="G586" s="97">
        <f>F586</f>
        <v>0</v>
      </c>
      <c r="H586" s="164"/>
      <c r="I586" s="101" t="s">
        <v>517</v>
      </c>
      <c r="J586" s="101" t="str">
        <f>VLOOKUP(I586,Presupuesto!$B$11:$C$565,2,0)</f>
        <v>DECIMOCUARTO MES</v>
      </c>
      <c r="K586" s="98" t="str">
        <f t="shared" si="21"/>
        <v>Posgrado</v>
      </c>
      <c r="L586" s="98" t="s">
        <v>393</v>
      </c>
    </row>
    <row r="587" spans="3:12" ht="15.75" thickBot="1" x14ac:dyDescent="0.3">
      <c r="C587" s="137" t="s">
        <v>490</v>
      </c>
      <c r="D587" s="199"/>
      <c r="E587" s="152">
        <v>12</v>
      </c>
      <c r="F587" s="303">
        <f>HLOOKUP($C587,$BZ$2:$CM$3,2,0)</f>
        <v>13238.9</v>
      </c>
      <c r="G587" s="113">
        <f>D587*E587*F587</f>
        <v>0</v>
      </c>
      <c r="H587" s="166"/>
      <c r="I587" s="114" t="s">
        <v>494</v>
      </c>
      <c r="J587" s="114" t="str">
        <f>VLOOKUP(I587,Presupuesto!$B$11:$C$565,2,0)</f>
        <v>SUELDOS Y SALARIOS PERMANENTES</v>
      </c>
      <c r="K587" s="98" t="str">
        <f t="shared" si="21"/>
        <v>Posgrado</v>
      </c>
      <c r="L587" s="98" t="s">
        <v>393</v>
      </c>
    </row>
    <row r="588" spans="3:12" x14ac:dyDescent="0.25">
      <c r="C588" s="171" t="s">
        <v>58</v>
      </c>
      <c r="D588" s="163"/>
      <c r="E588" s="154">
        <v>0</v>
      </c>
      <c r="F588" s="100">
        <f>IF(E587=0,"",(G587/E587)/12*E587)</f>
        <v>0</v>
      </c>
      <c r="G588" s="97">
        <f>F588</f>
        <v>0</v>
      </c>
      <c r="H588" s="164"/>
      <c r="I588" s="116" t="s">
        <v>514</v>
      </c>
      <c r="J588" s="116" t="str">
        <f>VLOOKUP(I588,Presupuesto!$B$11:$C$565,2,0)</f>
        <v>AGUINALDO Y DECIMO CUARTO MES</v>
      </c>
      <c r="K588" s="98" t="str">
        <f t="shared" si="21"/>
        <v>Posgrado</v>
      </c>
      <c r="L588" s="98" t="s">
        <v>393</v>
      </c>
    </row>
    <row r="589" spans="3:12" ht="15.75" thickBot="1" x14ac:dyDescent="0.3">
      <c r="C589" s="172" t="s">
        <v>59</v>
      </c>
      <c r="D589" s="163"/>
      <c r="E589" s="154">
        <v>0</v>
      </c>
      <c r="F589" s="117">
        <f>IF(E587&lt;6,"",((E587-6)/12)*(G587/E587))</f>
        <v>0</v>
      </c>
      <c r="G589" s="97">
        <f>F589</f>
        <v>0</v>
      </c>
      <c r="H589" s="164"/>
      <c r="I589" s="101" t="s">
        <v>517</v>
      </c>
      <c r="J589" s="101" t="str">
        <f>VLOOKUP(I589,Presupuesto!$B$11:$C$565,2,0)</f>
        <v>DECIMOCUARTO MES</v>
      </c>
      <c r="K589" s="98" t="str">
        <f t="shared" si="21"/>
        <v>Posgrado</v>
      </c>
      <c r="L589" s="98" t="s">
        <v>393</v>
      </c>
    </row>
    <row r="590" spans="3:12" ht="15.75" thickBot="1" x14ac:dyDescent="0.3">
      <c r="C590" s="137" t="s">
        <v>491</v>
      </c>
      <c r="D590" s="199"/>
      <c r="E590" s="152">
        <v>12</v>
      </c>
      <c r="F590" s="303">
        <f>HLOOKUP($C590,$BZ$2:$CM$3,2,0)</f>
        <v>12356.31</v>
      </c>
      <c r="G590" s="113">
        <f>D590*E590*F590</f>
        <v>0</v>
      </c>
      <c r="H590" s="166"/>
      <c r="I590" s="114" t="s">
        <v>494</v>
      </c>
      <c r="J590" s="114" t="str">
        <f>VLOOKUP(I590,Presupuesto!$B$11:$C$565,2,0)</f>
        <v>SUELDOS Y SALARIOS PERMANENTES</v>
      </c>
      <c r="K590" s="98" t="str">
        <f t="shared" ref="K590:K607" si="22">$K$557</f>
        <v>Posgrado</v>
      </c>
      <c r="L590" s="98" t="s">
        <v>393</v>
      </c>
    </row>
    <row r="591" spans="3:12" x14ac:dyDescent="0.25">
      <c r="C591" s="171" t="s">
        <v>58</v>
      </c>
      <c r="D591" s="163"/>
      <c r="E591" s="154">
        <v>0</v>
      </c>
      <c r="F591" s="100">
        <f>IF(E590=0,"",(G590/E590)/12*E590)</f>
        <v>0</v>
      </c>
      <c r="G591" s="97">
        <f>F591</f>
        <v>0</v>
      </c>
      <c r="H591" s="164"/>
      <c r="I591" s="116" t="s">
        <v>514</v>
      </c>
      <c r="J591" s="116" t="str">
        <f>VLOOKUP(I591,Presupuesto!$B$11:$C$565,2,0)</f>
        <v>AGUINALDO Y DECIMO CUARTO MES</v>
      </c>
      <c r="K591" s="98" t="str">
        <f t="shared" si="22"/>
        <v>Posgrado</v>
      </c>
      <c r="L591" s="98" t="s">
        <v>393</v>
      </c>
    </row>
    <row r="592" spans="3:12" ht="15.75" thickBot="1" x14ac:dyDescent="0.3">
      <c r="C592" s="172" t="s">
        <v>59</v>
      </c>
      <c r="D592" s="163"/>
      <c r="E592" s="154">
        <v>0</v>
      </c>
      <c r="F592" s="117">
        <f>IF(E590&lt;6,"",((E590-6)/12)*(G590/E590))</f>
        <v>0</v>
      </c>
      <c r="G592" s="97">
        <f>F592</f>
        <v>0</v>
      </c>
      <c r="H592" s="164"/>
      <c r="I592" s="101" t="s">
        <v>517</v>
      </c>
      <c r="J592" s="101" t="str">
        <f>VLOOKUP(I592,Presupuesto!$B$11:$C$565,2,0)</f>
        <v>DECIMOCUARTO MES</v>
      </c>
      <c r="K592" s="98" t="str">
        <f t="shared" si="22"/>
        <v>Posgrado</v>
      </c>
      <c r="L592" s="98" t="s">
        <v>393</v>
      </c>
    </row>
    <row r="593" spans="3:12" ht="15.75" thickBot="1" x14ac:dyDescent="0.3">
      <c r="C593" s="137" t="s">
        <v>492</v>
      </c>
      <c r="D593" s="199"/>
      <c r="E593" s="152">
        <v>12</v>
      </c>
      <c r="F593" s="303">
        <f>HLOOKUP($C593,$BZ$2:$CM$3,2,0)</f>
        <v>463.22</v>
      </c>
      <c r="G593" s="113">
        <f>D593*E593*F593</f>
        <v>0</v>
      </c>
      <c r="H593" s="166"/>
      <c r="I593" s="114" t="s">
        <v>494</v>
      </c>
      <c r="J593" s="114" t="str">
        <f>VLOOKUP(I593,Presupuesto!$B$11:$C$565,2,0)</f>
        <v>SUELDOS Y SALARIOS PERMANENTES</v>
      </c>
      <c r="K593" s="98" t="str">
        <f t="shared" si="22"/>
        <v>Posgrado</v>
      </c>
      <c r="L593" s="98" t="s">
        <v>393</v>
      </c>
    </row>
    <row r="594" spans="3:12" x14ac:dyDescent="0.25">
      <c r="C594" s="171" t="s">
        <v>58</v>
      </c>
      <c r="D594" s="163"/>
      <c r="E594" s="154">
        <v>0</v>
      </c>
      <c r="F594" s="100">
        <f>IF(E593=0,"",(G593/E593)/12*E593)</f>
        <v>0</v>
      </c>
      <c r="G594" s="97">
        <f>F594</f>
        <v>0</v>
      </c>
      <c r="H594" s="164"/>
      <c r="I594" s="116" t="s">
        <v>514</v>
      </c>
      <c r="J594" s="116" t="str">
        <f>VLOOKUP(I594,Presupuesto!$B$11:$C$565,2,0)</f>
        <v>AGUINALDO Y DECIMO CUARTO MES</v>
      </c>
      <c r="K594" s="98" t="str">
        <f t="shared" si="22"/>
        <v>Posgrado</v>
      </c>
      <c r="L594" s="98" t="s">
        <v>393</v>
      </c>
    </row>
    <row r="595" spans="3:12" ht="15.75" thickBot="1" x14ac:dyDescent="0.3">
      <c r="C595" s="172" t="s">
        <v>59</v>
      </c>
      <c r="D595" s="163"/>
      <c r="E595" s="154">
        <v>0</v>
      </c>
      <c r="F595" s="117">
        <f>IF(E593&lt;6,"",((E593-6)/12)*(G593/E593))</f>
        <v>0</v>
      </c>
      <c r="G595" s="97">
        <f>F595</f>
        <v>0</v>
      </c>
      <c r="H595" s="164"/>
      <c r="I595" s="101" t="s">
        <v>517</v>
      </c>
      <c r="J595" s="101" t="str">
        <f>VLOOKUP(I595,Presupuesto!$B$11:$C$565,2,0)</f>
        <v>DECIMOCUARTO MES</v>
      </c>
      <c r="K595" s="98" t="str">
        <f t="shared" si="22"/>
        <v>Posgrado</v>
      </c>
      <c r="L595" s="98" t="s">
        <v>393</v>
      </c>
    </row>
    <row r="596" spans="3:12" ht="15.75" thickBot="1" x14ac:dyDescent="0.3">
      <c r="C596" s="137" t="s">
        <v>493</v>
      </c>
      <c r="D596" s="199"/>
      <c r="E596" s="152">
        <v>12</v>
      </c>
      <c r="F596" s="303">
        <f>HLOOKUP($C596,$BZ$2:$CM$3,2,0)</f>
        <v>2007.3</v>
      </c>
      <c r="G596" s="113">
        <f>D596*E596*F596</f>
        <v>0</v>
      </c>
      <c r="H596" s="166"/>
      <c r="I596" s="114" t="s">
        <v>494</v>
      </c>
      <c r="J596" s="114" t="str">
        <f>VLOOKUP(I596,Presupuesto!$B$11:$C$565,2,0)</f>
        <v>SUELDOS Y SALARIOS PERMANENTES</v>
      </c>
      <c r="K596" s="98" t="str">
        <f t="shared" si="22"/>
        <v>Posgrado</v>
      </c>
      <c r="L596" s="98" t="s">
        <v>393</v>
      </c>
    </row>
    <row r="597" spans="3:12" x14ac:dyDescent="0.25">
      <c r="C597" s="171" t="s">
        <v>58</v>
      </c>
      <c r="D597" s="163"/>
      <c r="E597" s="154">
        <v>0</v>
      </c>
      <c r="F597" s="100">
        <f>IF(E596=0,"",(G596/E596)/12*E596)</f>
        <v>0</v>
      </c>
      <c r="G597" s="97">
        <f>F597</f>
        <v>0</v>
      </c>
      <c r="H597" s="164"/>
      <c r="I597" s="116" t="s">
        <v>514</v>
      </c>
      <c r="J597" s="116" t="str">
        <f>VLOOKUP(I597,Presupuesto!$B$11:$C$565,2,0)</f>
        <v>AGUINALDO Y DECIMO CUARTO MES</v>
      </c>
      <c r="K597" s="98" t="str">
        <f t="shared" si="22"/>
        <v>Posgrado</v>
      </c>
      <c r="L597" s="98" t="s">
        <v>393</v>
      </c>
    </row>
    <row r="598" spans="3:12" ht="15.75" thickBot="1" x14ac:dyDescent="0.3">
      <c r="C598" s="172" t="s">
        <v>59</v>
      </c>
      <c r="D598" s="163"/>
      <c r="E598" s="154">
        <v>0</v>
      </c>
      <c r="F598" s="117">
        <f>IF(E596&lt;6,"",((E596-6)/12)*(G596/E596))</f>
        <v>0</v>
      </c>
      <c r="G598" s="97">
        <f>F598</f>
        <v>0</v>
      </c>
      <c r="H598" s="164"/>
      <c r="I598" s="101" t="s">
        <v>517</v>
      </c>
      <c r="J598" s="101" t="str">
        <f>VLOOKUP(I598,Presupuesto!$B$11:$C$565,2,0)</f>
        <v>DECIMOCUARTO MES</v>
      </c>
      <c r="K598" s="98" t="str">
        <f t="shared" si="22"/>
        <v>Posgrado</v>
      </c>
      <c r="L598" s="98" t="s">
        <v>393</v>
      </c>
    </row>
    <row r="599" spans="3:12" ht="15.75" thickBot="1" x14ac:dyDescent="0.3">
      <c r="C599" s="140" t="s">
        <v>83</v>
      </c>
      <c r="D599" s="199"/>
      <c r="E599" s="152">
        <v>12</v>
      </c>
      <c r="F599" s="139">
        <v>30000</v>
      </c>
      <c r="G599" s="113">
        <f>D599*E599*F599</f>
        <v>0</v>
      </c>
      <c r="H599" s="166"/>
      <c r="I599" s="114" t="s">
        <v>562</v>
      </c>
      <c r="J599" s="114" t="str">
        <f>VLOOKUP(I599,Presupuesto!$B$11:$C$565,2,0)</f>
        <v>CONTRATOS ESPECIALES</v>
      </c>
      <c r="K599" s="98" t="str">
        <f t="shared" si="22"/>
        <v>Posgrado</v>
      </c>
      <c r="L599" s="98" t="s">
        <v>393</v>
      </c>
    </row>
    <row r="600" spans="3:12" x14ac:dyDescent="0.25">
      <c r="C600" s="171" t="s">
        <v>58</v>
      </c>
      <c r="D600" s="163"/>
      <c r="E600" s="154">
        <v>0</v>
      </c>
      <c r="F600" s="117">
        <f>IF(E599=0,"",(G599/E599)/12*E599)</f>
        <v>0</v>
      </c>
      <c r="G600" s="97">
        <f>F600</f>
        <v>0</v>
      </c>
      <c r="H600" s="164"/>
      <c r="I600" s="101" t="s">
        <v>562</v>
      </c>
      <c r="J600" s="101" t="str">
        <f>VLOOKUP(I600,Presupuesto!$B$11:$C$565,2,0)</f>
        <v>CONTRATOS ESPECIALES</v>
      </c>
      <c r="K600" s="98" t="str">
        <f t="shared" si="22"/>
        <v>Posgrado</v>
      </c>
      <c r="L600" s="98" t="s">
        <v>392</v>
      </c>
    </row>
    <row r="601" spans="3:12" ht="15.75" thickBot="1" x14ac:dyDescent="0.3">
      <c r="C601" s="172" t="s">
        <v>59</v>
      </c>
      <c r="D601" s="163"/>
      <c r="E601" s="154">
        <v>0</v>
      </c>
      <c r="F601" s="100">
        <f>IF(E599&lt;6,"",((E599-6)/12)*(G599/E599))</f>
        <v>0</v>
      </c>
      <c r="G601" s="97">
        <f>F601</f>
        <v>0</v>
      </c>
      <c r="H601" s="164"/>
      <c r="I601" s="101" t="s">
        <v>562</v>
      </c>
      <c r="J601" s="101" t="str">
        <f>VLOOKUP(I601,Presupuesto!$B$11:$C$565,2,0)</f>
        <v>CONTRATOS ESPECIALES</v>
      </c>
      <c r="K601" s="98" t="str">
        <f t="shared" si="22"/>
        <v>Posgrado</v>
      </c>
      <c r="L601" s="98" t="s">
        <v>397</v>
      </c>
    </row>
    <row r="602" spans="3:12" ht="15.75" thickBot="1" x14ac:dyDescent="0.3">
      <c r="C602" s="140" t="s">
        <v>60</v>
      </c>
      <c r="D602" s="199"/>
      <c r="E602" s="152">
        <v>12</v>
      </c>
      <c r="F602" s="118">
        <v>30000</v>
      </c>
      <c r="G602" s="113">
        <f>D602*E602*F602</f>
        <v>0</v>
      </c>
      <c r="H602" s="166"/>
      <c r="I602" s="114" t="s">
        <v>703</v>
      </c>
      <c r="J602" s="114" t="str">
        <f>VLOOKUP(I602,Presupuesto!$B$11:$C$565,2,0)</f>
        <v>OTROS SERVICIOS TECNICOS Y PROFESIONALES</v>
      </c>
      <c r="K602" s="98" t="str">
        <f t="shared" si="22"/>
        <v>Posgrado</v>
      </c>
      <c r="L602" s="98" t="s">
        <v>392</v>
      </c>
    </row>
    <row r="603" spans="3:12" x14ac:dyDescent="0.25">
      <c r="C603" s="171" t="s">
        <v>58</v>
      </c>
      <c r="D603" s="163"/>
      <c r="E603" s="154">
        <v>0</v>
      </c>
      <c r="F603" s="100">
        <v>0</v>
      </c>
      <c r="G603" s="97">
        <f>F603</f>
        <v>0</v>
      </c>
      <c r="H603" s="164"/>
      <c r="I603" s="101" t="s">
        <v>703</v>
      </c>
      <c r="J603" s="101" t="str">
        <f>VLOOKUP(I603,Presupuesto!$B$11:$C$565,2,0)</f>
        <v>OTROS SERVICIOS TECNICOS Y PROFESIONALES</v>
      </c>
      <c r="K603" s="98" t="str">
        <f t="shared" si="22"/>
        <v>Posgrado</v>
      </c>
      <c r="L603" s="98" t="s">
        <v>392</v>
      </c>
    </row>
    <row r="604" spans="3:12" ht="15.75" thickBot="1" x14ac:dyDescent="0.3">
      <c r="C604" s="172" t="s">
        <v>59</v>
      </c>
      <c r="D604" s="163"/>
      <c r="E604" s="154">
        <v>0</v>
      </c>
      <c r="F604" s="100">
        <v>0</v>
      </c>
      <c r="G604" s="97">
        <f>F604</f>
        <v>0</v>
      </c>
      <c r="H604" s="164"/>
      <c r="I604" s="101" t="s">
        <v>703</v>
      </c>
      <c r="J604" s="101" t="str">
        <f>VLOOKUP(I604,Presupuesto!$B$11:$C$565,2,0)</f>
        <v>OTROS SERVICIOS TECNICOS Y PROFESIONALES</v>
      </c>
      <c r="K604" s="98" t="str">
        <f t="shared" si="22"/>
        <v>Posgrado</v>
      </c>
      <c r="L604" s="98" t="s">
        <v>392</v>
      </c>
    </row>
    <row r="605" spans="3:12" ht="15.75" thickBot="1" x14ac:dyDescent="0.3">
      <c r="C605" s="140" t="s">
        <v>61</v>
      </c>
      <c r="D605" s="199"/>
      <c r="E605" s="152">
        <v>12</v>
      </c>
      <c r="F605" s="118">
        <v>30000</v>
      </c>
      <c r="G605" s="113">
        <f>D605*E605*F605</f>
        <v>0</v>
      </c>
      <c r="H605" s="166"/>
      <c r="I605" s="114" t="s">
        <v>494</v>
      </c>
      <c r="J605" s="114" t="str">
        <f>VLOOKUP(I605,Presupuesto!$B$11:$C$565,2,0)</f>
        <v>SUELDOS Y SALARIOS PERMANENTES</v>
      </c>
      <c r="K605" s="98" t="str">
        <f t="shared" si="22"/>
        <v>Posgrado</v>
      </c>
      <c r="L605" s="98" t="s">
        <v>392</v>
      </c>
    </row>
    <row r="606" spans="3:12" x14ac:dyDescent="0.25">
      <c r="C606" s="171" t="s">
        <v>58</v>
      </c>
      <c r="D606" s="169"/>
      <c r="E606" s="131">
        <v>0</v>
      </c>
      <c r="F606" s="119">
        <f>IF(E605=0,"",(G605/E605)/12*E605)</f>
        <v>0</v>
      </c>
      <c r="G606" s="120">
        <f>F606</f>
        <v>0</v>
      </c>
      <c r="H606" s="164"/>
      <c r="I606" s="101" t="s">
        <v>514</v>
      </c>
      <c r="J606" s="101" t="str">
        <f>VLOOKUP(I606,Presupuesto!$B$11:$C$565,2,0)</f>
        <v>AGUINALDO Y DECIMO CUARTO MES</v>
      </c>
      <c r="K606" s="98" t="str">
        <f t="shared" si="22"/>
        <v>Posgrado</v>
      </c>
      <c r="L606" s="98" t="s">
        <v>392</v>
      </c>
    </row>
    <row r="607" spans="3:12" ht="15.75" thickBot="1" x14ac:dyDescent="0.3">
      <c r="C607" s="173" t="s">
        <v>59</v>
      </c>
      <c r="D607" s="162"/>
      <c r="E607" s="132">
        <v>0</v>
      </c>
      <c r="F607" s="105">
        <f>IF(E605&lt;6,"",((E605-6)/12)*(G605/E605))</f>
        <v>0</v>
      </c>
      <c r="G607" s="105">
        <f>F607</f>
        <v>0</v>
      </c>
      <c r="H607" s="162"/>
      <c r="I607" s="106" t="s">
        <v>517</v>
      </c>
      <c r="J607" s="124" t="str">
        <f>VLOOKUP(I607,Presupuesto!$B$11:$C$565,2,0)</f>
        <v>DECIMOCUARTO MES</v>
      </c>
      <c r="K607" s="106" t="str">
        <f t="shared" si="22"/>
        <v>Posgrado</v>
      </c>
      <c r="L607" s="124" t="s">
        <v>392</v>
      </c>
    </row>
    <row r="609" spans="3:12" ht="15.75" thickBot="1" x14ac:dyDescent="0.3"/>
    <row r="610" spans="3:12" ht="15.75" thickBot="1" x14ac:dyDescent="0.3">
      <c r="C610" s="69" t="s">
        <v>43</v>
      </c>
      <c r="D610" s="30">
        <f>SUM(G617:G667)</f>
        <v>0</v>
      </c>
      <c r="E610" s="93"/>
      <c r="F610" s="93"/>
      <c r="G610" s="93"/>
      <c r="H610" s="76"/>
      <c r="I610" s="76"/>
      <c r="J610" s="76"/>
      <c r="K610" s="153"/>
    </row>
    <row r="611" spans="3:12" x14ac:dyDescent="0.25">
      <c r="D611" s="31"/>
      <c r="E611" s="93"/>
      <c r="F611" s="93"/>
      <c r="G611" s="93"/>
      <c r="H611" s="76"/>
      <c r="I611" s="76"/>
      <c r="J611" s="76"/>
      <c r="K611" s="153"/>
    </row>
    <row r="612" spans="3:12" x14ac:dyDescent="0.25">
      <c r="D612" s="31"/>
      <c r="E612" s="93"/>
      <c r="F612" s="93"/>
      <c r="G612" s="93"/>
      <c r="H612" s="76"/>
      <c r="I612" s="76"/>
      <c r="J612" s="76"/>
      <c r="K612" s="153"/>
    </row>
    <row r="613" spans="3:12" ht="15.75" x14ac:dyDescent="0.25">
      <c r="C613" s="202" t="s">
        <v>390</v>
      </c>
      <c r="D613" s="368"/>
      <c r="E613" s="93"/>
      <c r="F613" s="93"/>
      <c r="G613" s="93"/>
      <c r="H613" s="76"/>
      <c r="I613" s="76"/>
      <c r="J613" s="76"/>
      <c r="K613" s="153"/>
    </row>
    <row r="614" spans="3:12" ht="18.75" x14ac:dyDescent="0.25">
      <c r="C614" s="210" t="e">
        <f>IFERROR(VLOOKUP(D613,'1. Desarrollo e Innov. Curricu.'!$F:$G,2,FALSE),IFERROR(VLOOKUP(D613,'2. Investigación Científica'!$F:$G,2,FALSE),IFERROR(VLOOKUP(D613,'3. Vinculación Univ. Sociedad'!$F:$G,2,FALSE),IFERROR(VLOOKUP(D613,'4. Docencia y Profesorado Univ.'!$F:$G,2,FALSE),IFERROR(VLOOKUP(D613,'5. Estudiantes y Graduados'!$F:$G,2,FALSE),IFERROR(VLOOKUP(D613,'11. Gestion Administrativa'!$F:$G,2,FALSE),IFERROR(VLOOKUP(D613,'13. Gestión Académica'!$F:$G,2,FALSE),IFERROR(VLOOKUP(D613,'9. Asegura. de la Calid. y M'!$F:$G,2,FALSE),IFERROR(VLOOKUP(D613,'6. Gestión del Conocimiento'!$F:$G,2,FALSE),IFERROR(VLOOKUP(D613,'15. Gobernabilidad y Proceso...'!$G:$H,2,FALSE),IFERROR(VLOOKUP(D613,'12. Gestión del Talento Humano'!$F:$G,2,FALSE),IFERROR(VLOOKUP(D613,'14. Internacional... de la E.S.'!$F:$G,2,FALSE),IFERROR(VLOOKUP(D613,'10. Posgrado'!$F:$G,2,FALSE),IFERROR(VLOOKUP(D613,'17. Gestión TIC'!$F:$G,2,FALSE),IFERROR(VLOOKUP(D613,'16. Desa. del Sistema Educ.Sup.'!$F:$G,2,FALSE),IFERROR(VLOOKUP(D613,'8. Cultura de Inno. Insti...'!$F:$G,2,FALSE),VLOOKUP(D613,'7. Lo Esencial de la Reforma U.'!$G:$H,2,0)))))))))))))))))</f>
        <v>#N/A</v>
      </c>
      <c r="D614" s="31"/>
      <c r="E614" s="93"/>
      <c r="F614" s="93"/>
      <c r="G614" s="93"/>
      <c r="H614" s="76"/>
      <c r="I614" s="76"/>
      <c r="J614" s="76"/>
      <c r="K614" s="153"/>
    </row>
    <row r="615" spans="3:12" ht="15.75" thickBot="1" x14ac:dyDescent="0.3">
      <c r="C615" s="177"/>
      <c r="D615" s="31"/>
      <c r="E615" s="93"/>
      <c r="F615" s="93"/>
      <c r="G615" s="93"/>
      <c r="H615" s="76"/>
      <c r="I615" s="76"/>
      <c r="J615" s="76"/>
      <c r="K615" s="153"/>
    </row>
    <row r="616" spans="3:12" ht="30.75" thickBot="1" x14ac:dyDescent="0.3">
      <c r="C616" s="134" t="s">
        <v>44</v>
      </c>
      <c r="D616" s="138" t="s">
        <v>55</v>
      </c>
      <c r="E616" s="170" t="s">
        <v>56</v>
      </c>
      <c r="F616" s="138" t="s">
        <v>57</v>
      </c>
      <c r="G616" s="135" t="s">
        <v>27</v>
      </c>
      <c r="H616" s="133" t="s">
        <v>129</v>
      </c>
      <c r="I616" s="136" t="s">
        <v>46</v>
      </c>
      <c r="J616" s="136" t="s">
        <v>130</v>
      </c>
      <c r="K616" s="136" t="s">
        <v>408</v>
      </c>
      <c r="L616" s="136" t="s">
        <v>409</v>
      </c>
    </row>
    <row r="617" spans="3:12" ht="15.75" thickBot="1" x14ac:dyDescent="0.3">
      <c r="C617" s="137" t="s">
        <v>480</v>
      </c>
      <c r="D617" s="199"/>
      <c r="E617" s="152">
        <v>12</v>
      </c>
      <c r="F617" s="303">
        <f>HLOOKUP($C617,$BZ$2:$CM$3,2,0)</f>
        <v>43674.39</v>
      </c>
      <c r="G617" s="113">
        <f>D617*E617*F617</f>
        <v>0</v>
      </c>
      <c r="H617" s="166"/>
      <c r="I617" s="114" t="s">
        <v>494</v>
      </c>
      <c r="J617" s="114" t="str">
        <f>VLOOKUP(I617,Presupuesto!$B$11:$C$565,2,0)</f>
        <v>SUELDOS Y SALARIOS PERMANENTES</v>
      </c>
      <c r="K617" s="218" t="s">
        <v>1443</v>
      </c>
      <c r="L617" s="98" t="s">
        <v>392</v>
      </c>
    </row>
    <row r="618" spans="3:12" x14ac:dyDescent="0.25">
      <c r="C618" s="171" t="s">
        <v>58</v>
      </c>
      <c r="D618" s="163"/>
      <c r="E618" s="154">
        <v>0</v>
      </c>
      <c r="F618" s="100">
        <f>IF(E617=0,"",(G617/E617)/12*E617)</f>
        <v>0</v>
      </c>
      <c r="G618" s="97">
        <f>F618</f>
        <v>0</v>
      </c>
      <c r="H618" s="164"/>
      <c r="I618" s="116" t="s">
        <v>514</v>
      </c>
      <c r="J618" s="116" t="str">
        <f>VLOOKUP(I618,Presupuesto!$B$11:$C$565,2,0)</f>
        <v>AGUINALDO Y DECIMO CUARTO MES</v>
      </c>
      <c r="K618" s="98" t="str">
        <f t="shared" ref="K618:K649" si="23">$K$617</f>
        <v>Posgrado</v>
      </c>
      <c r="L618" s="98" t="s">
        <v>410</v>
      </c>
    </row>
    <row r="619" spans="3:12" ht="15.75" thickBot="1" x14ac:dyDescent="0.3">
      <c r="C619" s="172" t="s">
        <v>59</v>
      </c>
      <c r="D619" s="163"/>
      <c r="E619" s="154">
        <v>0</v>
      </c>
      <c r="F619" s="117">
        <f>IF(E617&lt;6,"",((E617-6)/12)*(G617/E617))</f>
        <v>0</v>
      </c>
      <c r="G619" s="97">
        <f>F619</f>
        <v>0</v>
      </c>
      <c r="H619" s="164"/>
      <c r="I619" s="101" t="s">
        <v>517</v>
      </c>
      <c r="J619" s="101" t="str">
        <f>VLOOKUP(I619,Presupuesto!$B$11:$C$565,2,0)</f>
        <v>DECIMOCUARTO MES</v>
      </c>
      <c r="K619" s="98" t="str">
        <f t="shared" si="23"/>
        <v>Posgrado</v>
      </c>
      <c r="L619" s="98" t="s">
        <v>393</v>
      </c>
    </row>
    <row r="620" spans="3:12" ht="15.75" thickBot="1" x14ac:dyDescent="0.3">
      <c r="C620" s="137" t="s">
        <v>481</v>
      </c>
      <c r="D620" s="199"/>
      <c r="E620" s="152">
        <v>12</v>
      </c>
      <c r="F620" s="303">
        <f>HLOOKUP($C620,$BZ$2:$CM$3,2,0)</f>
        <v>39703.99</v>
      </c>
      <c r="G620" s="113">
        <f>D620*E620*F620</f>
        <v>0</v>
      </c>
      <c r="H620" s="166"/>
      <c r="I620" s="114" t="s">
        <v>494</v>
      </c>
      <c r="J620" s="114" t="str">
        <f>VLOOKUP(I620,Presupuesto!$B$11:$C$565,2,0)</f>
        <v>SUELDOS Y SALARIOS PERMANENTES</v>
      </c>
      <c r="K620" s="98" t="str">
        <f t="shared" si="23"/>
        <v>Posgrado</v>
      </c>
      <c r="L620" s="98" t="s">
        <v>393</v>
      </c>
    </row>
    <row r="621" spans="3:12" x14ac:dyDescent="0.25">
      <c r="C621" s="171" t="s">
        <v>58</v>
      </c>
      <c r="D621" s="163"/>
      <c r="E621" s="154">
        <v>0</v>
      </c>
      <c r="F621" s="100">
        <f>IF(E620=0,"",(G620/E620)/12*E620)</f>
        <v>0</v>
      </c>
      <c r="G621" s="97">
        <f>F621</f>
        <v>0</v>
      </c>
      <c r="H621" s="164"/>
      <c r="I621" s="116" t="s">
        <v>514</v>
      </c>
      <c r="J621" s="116" t="str">
        <f>VLOOKUP(I621,Presupuesto!$B$11:$C$565,2,0)</f>
        <v>AGUINALDO Y DECIMO CUARTO MES</v>
      </c>
      <c r="K621" s="98" t="str">
        <f t="shared" si="23"/>
        <v>Posgrado</v>
      </c>
      <c r="L621" s="98" t="s">
        <v>393</v>
      </c>
    </row>
    <row r="622" spans="3:12" ht="15.75" thickBot="1" x14ac:dyDescent="0.3">
      <c r="C622" s="172" t="s">
        <v>59</v>
      </c>
      <c r="D622" s="163"/>
      <c r="E622" s="154">
        <v>0</v>
      </c>
      <c r="F622" s="117">
        <f>IF(E620&lt;6,"",((E620-6)/12)*(G620/E620))</f>
        <v>0</v>
      </c>
      <c r="G622" s="97">
        <f>F622</f>
        <v>0</v>
      </c>
      <c r="H622" s="164"/>
      <c r="I622" s="101" t="s">
        <v>517</v>
      </c>
      <c r="J622" s="101" t="str">
        <f>VLOOKUP(I622,Presupuesto!$B$11:$C$565,2,0)</f>
        <v>DECIMOCUARTO MES</v>
      </c>
      <c r="K622" s="98" t="str">
        <f t="shared" si="23"/>
        <v>Posgrado</v>
      </c>
      <c r="L622" s="98" t="s">
        <v>393</v>
      </c>
    </row>
    <row r="623" spans="3:12" ht="15.75" thickBot="1" x14ac:dyDescent="0.3">
      <c r="C623" s="137" t="s">
        <v>482</v>
      </c>
      <c r="D623" s="199"/>
      <c r="E623" s="152">
        <v>12</v>
      </c>
      <c r="F623" s="303">
        <f>HLOOKUP($C623,$BZ$2:$CM$3,2,0)</f>
        <v>35733.589999999997</v>
      </c>
      <c r="G623" s="113">
        <f>D623*E623*F623</f>
        <v>0</v>
      </c>
      <c r="H623" s="166"/>
      <c r="I623" s="114" t="s">
        <v>494</v>
      </c>
      <c r="J623" s="114" t="str">
        <f>VLOOKUP(I623,Presupuesto!$B$11:$C$565,2,0)</f>
        <v>SUELDOS Y SALARIOS PERMANENTES</v>
      </c>
      <c r="K623" s="98" t="str">
        <f t="shared" si="23"/>
        <v>Posgrado</v>
      </c>
      <c r="L623" s="98" t="s">
        <v>393</v>
      </c>
    </row>
    <row r="624" spans="3:12" x14ac:dyDescent="0.25">
      <c r="C624" s="171" t="s">
        <v>58</v>
      </c>
      <c r="D624" s="163"/>
      <c r="E624" s="154">
        <v>0</v>
      </c>
      <c r="F624" s="100">
        <f>IF(E623=0,"",(G623/E623)/12*E623)</f>
        <v>0</v>
      </c>
      <c r="G624" s="97">
        <f>F624</f>
        <v>0</v>
      </c>
      <c r="H624" s="164"/>
      <c r="I624" s="116" t="s">
        <v>514</v>
      </c>
      <c r="J624" s="116" t="str">
        <f>VLOOKUP(I624,Presupuesto!$B$11:$C$565,2,0)</f>
        <v>AGUINALDO Y DECIMO CUARTO MES</v>
      </c>
      <c r="K624" s="98" t="str">
        <f t="shared" si="23"/>
        <v>Posgrado</v>
      </c>
      <c r="L624" s="98" t="s">
        <v>393</v>
      </c>
    </row>
    <row r="625" spans="3:12" ht="15.75" thickBot="1" x14ac:dyDescent="0.3">
      <c r="C625" s="172" t="s">
        <v>59</v>
      </c>
      <c r="D625" s="163"/>
      <c r="E625" s="154">
        <v>0</v>
      </c>
      <c r="F625" s="117">
        <f>IF(E623&lt;6,"",((E623-6)/12)*(G623/E623))</f>
        <v>0</v>
      </c>
      <c r="G625" s="97">
        <f>F625</f>
        <v>0</v>
      </c>
      <c r="H625" s="164"/>
      <c r="I625" s="101" t="s">
        <v>517</v>
      </c>
      <c r="J625" s="101" t="str">
        <f>VLOOKUP(I625,Presupuesto!$B$11:$C$565,2,0)</f>
        <v>DECIMOCUARTO MES</v>
      </c>
      <c r="K625" s="98" t="str">
        <f t="shared" si="23"/>
        <v>Posgrado</v>
      </c>
      <c r="L625" s="98" t="s">
        <v>393</v>
      </c>
    </row>
    <row r="626" spans="3:12" ht="15.75" thickBot="1" x14ac:dyDescent="0.3">
      <c r="C626" s="137" t="s">
        <v>483</v>
      </c>
      <c r="D626" s="199"/>
      <c r="E626" s="152">
        <v>12</v>
      </c>
      <c r="F626" s="303">
        <f>HLOOKUP($C626,$BZ$2:$CM$3,2,0)</f>
        <v>31763.19</v>
      </c>
      <c r="G626" s="113">
        <f>D626*E626*F626</f>
        <v>0</v>
      </c>
      <c r="H626" s="166"/>
      <c r="I626" s="114" t="s">
        <v>494</v>
      </c>
      <c r="J626" s="114" t="str">
        <f>VLOOKUP(I626,Presupuesto!$B$11:$C$565,2,0)</f>
        <v>SUELDOS Y SALARIOS PERMANENTES</v>
      </c>
      <c r="K626" s="98" t="str">
        <f t="shared" si="23"/>
        <v>Posgrado</v>
      </c>
      <c r="L626" s="98" t="s">
        <v>393</v>
      </c>
    </row>
    <row r="627" spans="3:12" x14ac:dyDescent="0.25">
      <c r="C627" s="171" t="s">
        <v>58</v>
      </c>
      <c r="D627" s="163"/>
      <c r="E627" s="154">
        <v>0</v>
      </c>
      <c r="F627" s="100">
        <f>IF(E626=0,"",(G626/E626)/12*E626)</f>
        <v>0</v>
      </c>
      <c r="G627" s="97">
        <f>F627</f>
        <v>0</v>
      </c>
      <c r="H627" s="164"/>
      <c r="I627" s="116" t="s">
        <v>514</v>
      </c>
      <c r="J627" s="116" t="str">
        <f>VLOOKUP(I627,Presupuesto!$B$11:$C$565,2,0)</f>
        <v>AGUINALDO Y DECIMO CUARTO MES</v>
      </c>
      <c r="K627" s="98" t="str">
        <f t="shared" si="23"/>
        <v>Posgrado</v>
      </c>
      <c r="L627" s="98" t="s">
        <v>393</v>
      </c>
    </row>
    <row r="628" spans="3:12" ht="15.75" thickBot="1" x14ac:dyDescent="0.3">
      <c r="C628" s="172" t="s">
        <v>59</v>
      </c>
      <c r="D628" s="163"/>
      <c r="E628" s="154">
        <v>0</v>
      </c>
      <c r="F628" s="117">
        <f>IF(E626&lt;6,"",((E626-6)/12)*(G626/E626))</f>
        <v>0</v>
      </c>
      <c r="G628" s="97">
        <f>F628</f>
        <v>0</v>
      </c>
      <c r="H628" s="164"/>
      <c r="I628" s="101" t="s">
        <v>517</v>
      </c>
      <c r="J628" s="101" t="str">
        <f>VLOOKUP(I628,Presupuesto!$B$11:$C$565,2,0)</f>
        <v>DECIMOCUARTO MES</v>
      </c>
      <c r="K628" s="98" t="str">
        <f t="shared" si="23"/>
        <v>Posgrado</v>
      </c>
      <c r="L628" s="98" t="s">
        <v>393</v>
      </c>
    </row>
    <row r="629" spans="3:12" ht="15.75" thickBot="1" x14ac:dyDescent="0.3">
      <c r="C629" s="137" t="s">
        <v>484</v>
      </c>
      <c r="D629" s="199"/>
      <c r="E629" s="152">
        <v>12</v>
      </c>
      <c r="F629" s="303">
        <f>HLOOKUP($C629,$BZ$2:$CM$3,2,0)</f>
        <v>29777.99</v>
      </c>
      <c r="G629" s="113">
        <f>D629*E629*F629</f>
        <v>0</v>
      </c>
      <c r="H629" s="166"/>
      <c r="I629" s="114" t="s">
        <v>494</v>
      </c>
      <c r="J629" s="114" t="str">
        <f>VLOOKUP(I629,Presupuesto!$B$11:$C$565,2,0)</f>
        <v>SUELDOS Y SALARIOS PERMANENTES</v>
      </c>
      <c r="K629" s="98" t="str">
        <f t="shared" si="23"/>
        <v>Posgrado</v>
      </c>
      <c r="L629" s="98" t="s">
        <v>393</v>
      </c>
    </row>
    <row r="630" spans="3:12" x14ac:dyDescent="0.25">
      <c r="C630" s="171" t="s">
        <v>58</v>
      </c>
      <c r="D630" s="163"/>
      <c r="E630" s="154">
        <v>0</v>
      </c>
      <c r="F630" s="100">
        <f>IF(E629=0,"",(G629/E629)/12*E629)</f>
        <v>0</v>
      </c>
      <c r="G630" s="97">
        <f>F630</f>
        <v>0</v>
      </c>
      <c r="H630" s="164"/>
      <c r="I630" s="116" t="s">
        <v>514</v>
      </c>
      <c r="J630" s="116" t="str">
        <f>VLOOKUP(I630,Presupuesto!$B$11:$C$565,2,0)</f>
        <v>AGUINALDO Y DECIMO CUARTO MES</v>
      </c>
      <c r="K630" s="98" t="str">
        <f t="shared" si="23"/>
        <v>Posgrado</v>
      </c>
      <c r="L630" s="98" t="s">
        <v>393</v>
      </c>
    </row>
    <row r="631" spans="3:12" ht="15.75" thickBot="1" x14ac:dyDescent="0.3">
      <c r="C631" s="172" t="s">
        <v>59</v>
      </c>
      <c r="D631" s="163"/>
      <c r="E631" s="154">
        <v>0</v>
      </c>
      <c r="F631" s="117">
        <f>IF(E629&lt;6,"",((E629-6)/12)*(G629/E629))</f>
        <v>0</v>
      </c>
      <c r="G631" s="97">
        <f>F631</f>
        <v>0</v>
      </c>
      <c r="H631" s="164"/>
      <c r="I631" s="101" t="s">
        <v>517</v>
      </c>
      <c r="J631" s="101" t="str">
        <f>VLOOKUP(I631,Presupuesto!$B$11:$C$565,2,0)</f>
        <v>DECIMOCUARTO MES</v>
      </c>
      <c r="K631" s="98" t="str">
        <f t="shared" si="23"/>
        <v>Posgrado</v>
      </c>
      <c r="L631" s="98" t="s">
        <v>393</v>
      </c>
    </row>
    <row r="632" spans="3:12" ht="15.75" thickBot="1" x14ac:dyDescent="0.3">
      <c r="C632" s="137" t="s">
        <v>485</v>
      </c>
      <c r="D632" s="199"/>
      <c r="E632" s="152">
        <v>12</v>
      </c>
      <c r="F632" s="303">
        <f>HLOOKUP($C632,$BZ$2:$CM$3,2,0)</f>
        <v>27792.79</v>
      </c>
      <c r="G632" s="113">
        <f>D632*E632*F632</f>
        <v>0</v>
      </c>
      <c r="H632" s="166"/>
      <c r="I632" s="114" t="s">
        <v>494</v>
      </c>
      <c r="J632" s="114" t="str">
        <f>VLOOKUP(I632,Presupuesto!$B$11:$C$565,2,0)</f>
        <v>SUELDOS Y SALARIOS PERMANENTES</v>
      </c>
      <c r="K632" s="98" t="str">
        <f t="shared" si="23"/>
        <v>Posgrado</v>
      </c>
      <c r="L632" s="98" t="s">
        <v>393</v>
      </c>
    </row>
    <row r="633" spans="3:12" x14ac:dyDescent="0.25">
      <c r="C633" s="171" t="s">
        <v>58</v>
      </c>
      <c r="D633" s="163"/>
      <c r="E633" s="154">
        <v>0</v>
      </c>
      <c r="F633" s="100">
        <f>IF(E632=0,"",(G632/E632)/12*E632)</f>
        <v>0</v>
      </c>
      <c r="G633" s="97">
        <f>F633</f>
        <v>0</v>
      </c>
      <c r="H633" s="164"/>
      <c r="I633" s="116" t="s">
        <v>514</v>
      </c>
      <c r="J633" s="116" t="str">
        <f>VLOOKUP(I633,Presupuesto!$B$11:$C$565,2,0)</f>
        <v>AGUINALDO Y DECIMO CUARTO MES</v>
      </c>
      <c r="K633" s="98" t="str">
        <f t="shared" si="23"/>
        <v>Posgrado</v>
      </c>
      <c r="L633" s="98" t="s">
        <v>393</v>
      </c>
    </row>
    <row r="634" spans="3:12" ht="15.75" thickBot="1" x14ac:dyDescent="0.3">
      <c r="C634" s="172" t="s">
        <v>59</v>
      </c>
      <c r="D634" s="163"/>
      <c r="E634" s="154">
        <v>0</v>
      </c>
      <c r="F634" s="117">
        <f>IF(E632&lt;6,"",((E632-6)/12)*(G632/E632))</f>
        <v>0</v>
      </c>
      <c r="G634" s="97">
        <f>F634</f>
        <v>0</v>
      </c>
      <c r="H634" s="164"/>
      <c r="I634" s="101" t="s">
        <v>517</v>
      </c>
      <c r="J634" s="101" t="str">
        <f>VLOOKUP(I634,Presupuesto!$B$11:$C$565,2,0)</f>
        <v>DECIMOCUARTO MES</v>
      </c>
      <c r="K634" s="98" t="str">
        <f t="shared" si="23"/>
        <v>Posgrado</v>
      </c>
      <c r="L634" s="98" t="s">
        <v>393</v>
      </c>
    </row>
    <row r="635" spans="3:12" ht="15.75" thickBot="1" x14ac:dyDescent="0.3">
      <c r="C635" s="137" t="s">
        <v>486</v>
      </c>
      <c r="D635" s="199"/>
      <c r="E635" s="152">
        <v>12</v>
      </c>
      <c r="F635" s="303">
        <f>HLOOKUP($C635,$BZ$2:$CM$3,2,0)</f>
        <v>18859.39</v>
      </c>
      <c r="G635" s="113">
        <f>D635*E635*F635</f>
        <v>0</v>
      </c>
      <c r="H635" s="166"/>
      <c r="I635" s="114" t="s">
        <v>494</v>
      </c>
      <c r="J635" s="114" t="str">
        <f>VLOOKUP(I635,Presupuesto!$B$11:$C$565,2,0)</f>
        <v>SUELDOS Y SALARIOS PERMANENTES</v>
      </c>
      <c r="K635" s="98" t="str">
        <f t="shared" si="23"/>
        <v>Posgrado</v>
      </c>
      <c r="L635" s="98" t="s">
        <v>393</v>
      </c>
    </row>
    <row r="636" spans="3:12" x14ac:dyDescent="0.25">
      <c r="C636" s="171" t="s">
        <v>58</v>
      </c>
      <c r="D636" s="163"/>
      <c r="E636" s="154">
        <v>0</v>
      </c>
      <c r="F636" s="100">
        <f>IF(E635=0,"",(G635/E635)/12*E635)</f>
        <v>0</v>
      </c>
      <c r="G636" s="97">
        <f>F636</f>
        <v>0</v>
      </c>
      <c r="H636" s="164"/>
      <c r="I636" s="116" t="s">
        <v>514</v>
      </c>
      <c r="J636" s="116" t="str">
        <f>VLOOKUP(I636,Presupuesto!$B$11:$C$565,2,0)</f>
        <v>AGUINALDO Y DECIMO CUARTO MES</v>
      </c>
      <c r="K636" s="98" t="str">
        <f t="shared" si="23"/>
        <v>Posgrado</v>
      </c>
      <c r="L636" s="98" t="s">
        <v>393</v>
      </c>
    </row>
    <row r="637" spans="3:12" ht="15.75" thickBot="1" x14ac:dyDescent="0.3">
      <c r="C637" s="172" t="s">
        <v>59</v>
      </c>
      <c r="D637" s="163"/>
      <c r="E637" s="154">
        <v>0</v>
      </c>
      <c r="F637" s="117">
        <f>IF(E635&lt;6,"",((E635-6)/12)*(G635/E635))</f>
        <v>0</v>
      </c>
      <c r="G637" s="97">
        <f>F637</f>
        <v>0</v>
      </c>
      <c r="H637" s="164"/>
      <c r="I637" s="101" t="s">
        <v>517</v>
      </c>
      <c r="J637" s="101" t="str">
        <f>VLOOKUP(I637,Presupuesto!$B$11:$C$565,2,0)</f>
        <v>DECIMOCUARTO MES</v>
      </c>
      <c r="K637" s="98" t="str">
        <f t="shared" si="23"/>
        <v>Posgrado</v>
      </c>
      <c r="L637" s="98" t="s">
        <v>393</v>
      </c>
    </row>
    <row r="638" spans="3:12" ht="15.75" thickBot="1" x14ac:dyDescent="0.3">
      <c r="C638" s="137" t="s">
        <v>487</v>
      </c>
      <c r="D638" s="199"/>
      <c r="E638" s="152">
        <v>12</v>
      </c>
      <c r="F638" s="303">
        <f>HLOOKUP($C638,$BZ$2:$CM$3,2,0)</f>
        <v>17866.8</v>
      </c>
      <c r="G638" s="113">
        <f>D638*E638*F638</f>
        <v>0</v>
      </c>
      <c r="H638" s="166"/>
      <c r="I638" s="114" t="s">
        <v>494</v>
      </c>
      <c r="J638" s="114" t="str">
        <f>VLOOKUP(I638,Presupuesto!$B$11:$C$565,2,0)</f>
        <v>SUELDOS Y SALARIOS PERMANENTES</v>
      </c>
      <c r="K638" s="98" t="str">
        <f t="shared" si="23"/>
        <v>Posgrado</v>
      </c>
      <c r="L638" s="98" t="s">
        <v>393</v>
      </c>
    </row>
    <row r="639" spans="3:12" x14ac:dyDescent="0.25">
      <c r="C639" s="171" t="s">
        <v>58</v>
      </c>
      <c r="D639" s="163"/>
      <c r="E639" s="154">
        <v>0</v>
      </c>
      <c r="F639" s="100">
        <f>IF(E638=0,"",(G638/E638)/12*E638)</f>
        <v>0</v>
      </c>
      <c r="G639" s="97">
        <f>F639</f>
        <v>0</v>
      </c>
      <c r="H639" s="164"/>
      <c r="I639" s="116" t="s">
        <v>514</v>
      </c>
      <c r="J639" s="116" t="str">
        <f>VLOOKUP(I639,Presupuesto!$B$11:$C$565,2,0)</f>
        <v>AGUINALDO Y DECIMO CUARTO MES</v>
      </c>
      <c r="K639" s="98" t="str">
        <f t="shared" si="23"/>
        <v>Posgrado</v>
      </c>
      <c r="L639" s="98" t="s">
        <v>393</v>
      </c>
    </row>
    <row r="640" spans="3:12" ht="15.75" thickBot="1" x14ac:dyDescent="0.3">
      <c r="C640" s="172" t="s">
        <v>59</v>
      </c>
      <c r="D640" s="163"/>
      <c r="E640" s="154">
        <v>0</v>
      </c>
      <c r="F640" s="117">
        <f>IF(E638&lt;6,"",((E638-6)/12)*(G638/E638))</f>
        <v>0</v>
      </c>
      <c r="G640" s="97">
        <f>F640</f>
        <v>0</v>
      </c>
      <c r="H640" s="164"/>
      <c r="I640" s="101" t="s">
        <v>517</v>
      </c>
      <c r="J640" s="101" t="str">
        <f>VLOOKUP(I640,Presupuesto!$B$11:$C$565,2,0)</f>
        <v>DECIMOCUARTO MES</v>
      </c>
      <c r="K640" s="98" t="str">
        <f t="shared" si="23"/>
        <v>Posgrado</v>
      </c>
      <c r="L640" s="98" t="s">
        <v>393</v>
      </c>
    </row>
    <row r="641" spans="3:12" ht="15.75" thickBot="1" x14ac:dyDescent="0.3">
      <c r="C641" s="137" t="s">
        <v>488</v>
      </c>
      <c r="D641" s="199"/>
      <c r="E641" s="152">
        <v>12</v>
      </c>
      <c r="F641" s="303">
        <f>HLOOKUP($C641,$BZ$2:$CM$3,2,0)</f>
        <v>13896.4</v>
      </c>
      <c r="G641" s="113">
        <f>D641*E641*F641</f>
        <v>0</v>
      </c>
      <c r="H641" s="166"/>
      <c r="I641" s="114" t="s">
        <v>494</v>
      </c>
      <c r="J641" s="114" t="str">
        <f>VLOOKUP(I641,Presupuesto!$B$11:$C$565,2,0)</f>
        <v>SUELDOS Y SALARIOS PERMANENTES</v>
      </c>
      <c r="K641" s="98" t="str">
        <f t="shared" si="23"/>
        <v>Posgrado</v>
      </c>
      <c r="L641" s="98" t="s">
        <v>393</v>
      </c>
    </row>
    <row r="642" spans="3:12" x14ac:dyDescent="0.25">
      <c r="C642" s="171" t="s">
        <v>58</v>
      </c>
      <c r="D642" s="163"/>
      <c r="E642" s="154">
        <v>0</v>
      </c>
      <c r="F642" s="100">
        <f>IF(E641=0,"",(G641/E641)/12*E641)</f>
        <v>0</v>
      </c>
      <c r="G642" s="97">
        <f>F642</f>
        <v>0</v>
      </c>
      <c r="H642" s="164"/>
      <c r="I642" s="116" t="s">
        <v>514</v>
      </c>
      <c r="J642" s="116" t="str">
        <f>VLOOKUP(I642,Presupuesto!$B$11:$C$565,2,0)</f>
        <v>AGUINALDO Y DECIMO CUARTO MES</v>
      </c>
      <c r="K642" s="98" t="str">
        <f t="shared" si="23"/>
        <v>Posgrado</v>
      </c>
      <c r="L642" s="98" t="s">
        <v>393</v>
      </c>
    </row>
    <row r="643" spans="3:12" ht="15.75" thickBot="1" x14ac:dyDescent="0.3">
      <c r="C643" s="172" t="s">
        <v>59</v>
      </c>
      <c r="D643" s="163"/>
      <c r="E643" s="154">
        <v>0</v>
      </c>
      <c r="F643" s="117">
        <f>IF(E641&lt;6,"",((E641-6)/12)*(G641/E641))</f>
        <v>0</v>
      </c>
      <c r="G643" s="97">
        <f>F643</f>
        <v>0</v>
      </c>
      <c r="H643" s="164"/>
      <c r="I643" s="101" t="s">
        <v>517</v>
      </c>
      <c r="J643" s="101" t="str">
        <f>VLOOKUP(I643,Presupuesto!$B$11:$C$565,2,0)</f>
        <v>DECIMOCUARTO MES</v>
      </c>
      <c r="K643" s="98" t="str">
        <f t="shared" si="23"/>
        <v>Posgrado</v>
      </c>
      <c r="L643" s="98" t="s">
        <v>393</v>
      </c>
    </row>
    <row r="644" spans="3:12" ht="15.75" thickBot="1" x14ac:dyDescent="0.3">
      <c r="C644" s="137" t="s">
        <v>489</v>
      </c>
      <c r="D644" s="199"/>
      <c r="E644" s="152">
        <v>12</v>
      </c>
      <c r="F644" s="303">
        <f>HLOOKUP($C644,$BZ$2:$CM$3,2,0)</f>
        <v>15004.09</v>
      </c>
      <c r="G644" s="113">
        <f>D644*E644*F644</f>
        <v>0</v>
      </c>
      <c r="H644" s="166"/>
      <c r="I644" s="114" t="s">
        <v>494</v>
      </c>
      <c r="J644" s="114" t="str">
        <f>VLOOKUP(I644,Presupuesto!$B$11:$C$565,2,0)</f>
        <v>SUELDOS Y SALARIOS PERMANENTES</v>
      </c>
      <c r="K644" s="98" t="str">
        <f t="shared" si="23"/>
        <v>Posgrado</v>
      </c>
      <c r="L644" s="98" t="s">
        <v>393</v>
      </c>
    </row>
    <row r="645" spans="3:12" x14ac:dyDescent="0.25">
      <c r="C645" s="171" t="s">
        <v>58</v>
      </c>
      <c r="D645" s="163"/>
      <c r="E645" s="154">
        <v>0</v>
      </c>
      <c r="F645" s="100">
        <f>IF(E644=0,"",(G644/E644)/12*E644)</f>
        <v>0</v>
      </c>
      <c r="G645" s="97">
        <f>F645</f>
        <v>0</v>
      </c>
      <c r="H645" s="164"/>
      <c r="I645" s="116" t="s">
        <v>514</v>
      </c>
      <c r="J645" s="116" t="str">
        <f>VLOOKUP(I645,Presupuesto!$B$11:$C$565,2,0)</f>
        <v>AGUINALDO Y DECIMO CUARTO MES</v>
      </c>
      <c r="K645" s="98" t="str">
        <f t="shared" si="23"/>
        <v>Posgrado</v>
      </c>
      <c r="L645" s="98" t="s">
        <v>393</v>
      </c>
    </row>
    <row r="646" spans="3:12" ht="15.75" thickBot="1" x14ac:dyDescent="0.3">
      <c r="C646" s="172" t="s">
        <v>59</v>
      </c>
      <c r="D646" s="163"/>
      <c r="E646" s="154">
        <v>0</v>
      </c>
      <c r="F646" s="117">
        <f>IF(E644&lt;6,"",((E644-6)/12)*(G644/E644))</f>
        <v>0</v>
      </c>
      <c r="G646" s="97">
        <f>F646</f>
        <v>0</v>
      </c>
      <c r="H646" s="164"/>
      <c r="I646" s="101" t="s">
        <v>517</v>
      </c>
      <c r="J646" s="101" t="str">
        <f>VLOOKUP(I646,Presupuesto!$B$11:$C$565,2,0)</f>
        <v>DECIMOCUARTO MES</v>
      </c>
      <c r="K646" s="98" t="str">
        <f t="shared" si="23"/>
        <v>Posgrado</v>
      </c>
      <c r="L646" s="98" t="s">
        <v>393</v>
      </c>
    </row>
    <row r="647" spans="3:12" ht="15.75" thickBot="1" x14ac:dyDescent="0.3">
      <c r="C647" s="137" t="s">
        <v>490</v>
      </c>
      <c r="D647" s="199"/>
      <c r="E647" s="152">
        <v>12</v>
      </c>
      <c r="F647" s="303">
        <f>HLOOKUP($C647,$BZ$2:$CM$3,2,0)</f>
        <v>13238.9</v>
      </c>
      <c r="G647" s="113">
        <f>D647*E647*F647</f>
        <v>0</v>
      </c>
      <c r="H647" s="166"/>
      <c r="I647" s="114" t="s">
        <v>494</v>
      </c>
      <c r="J647" s="114" t="str">
        <f>VLOOKUP(I647,Presupuesto!$B$11:$C$565,2,0)</f>
        <v>SUELDOS Y SALARIOS PERMANENTES</v>
      </c>
      <c r="K647" s="98" t="str">
        <f t="shared" si="23"/>
        <v>Posgrado</v>
      </c>
      <c r="L647" s="98" t="s">
        <v>393</v>
      </c>
    </row>
    <row r="648" spans="3:12" x14ac:dyDescent="0.25">
      <c r="C648" s="171" t="s">
        <v>58</v>
      </c>
      <c r="D648" s="163"/>
      <c r="E648" s="154">
        <v>0</v>
      </c>
      <c r="F648" s="100">
        <f>IF(E647=0,"",(G647/E647)/12*E647)</f>
        <v>0</v>
      </c>
      <c r="G648" s="97">
        <f>F648</f>
        <v>0</v>
      </c>
      <c r="H648" s="164"/>
      <c r="I648" s="116" t="s">
        <v>514</v>
      </c>
      <c r="J648" s="116" t="str">
        <f>VLOOKUP(I648,Presupuesto!$B$11:$C$565,2,0)</f>
        <v>AGUINALDO Y DECIMO CUARTO MES</v>
      </c>
      <c r="K648" s="98" t="str">
        <f t="shared" si="23"/>
        <v>Posgrado</v>
      </c>
      <c r="L648" s="98" t="s">
        <v>393</v>
      </c>
    </row>
    <row r="649" spans="3:12" ht="15.75" thickBot="1" x14ac:dyDescent="0.3">
      <c r="C649" s="172" t="s">
        <v>59</v>
      </c>
      <c r="D649" s="163"/>
      <c r="E649" s="154">
        <v>0</v>
      </c>
      <c r="F649" s="117">
        <f>IF(E647&lt;6,"",((E647-6)/12)*(G647/E647))</f>
        <v>0</v>
      </c>
      <c r="G649" s="97">
        <f>F649</f>
        <v>0</v>
      </c>
      <c r="H649" s="164"/>
      <c r="I649" s="101" t="s">
        <v>517</v>
      </c>
      <c r="J649" s="101" t="str">
        <f>VLOOKUP(I649,Presupuesto!$B$11:$C$565,2,0)</f>
        <v>DECIMOCUARTO MES</v>
      </c>
      <c r="K649" s="98" t="str">
        <f t="shared" si="23"/>
        <v>Posgrado</v>
      </c>
      <c r="L649" s="98" t="s">
        <v>393</v>
      </c>
    </row>
    <row r="650" spans="3:12" ht="15.75" thickBot="1" x14ac:dyDescent="0.3">
      <c r="C650" s="137" t="s">
        <v>491</v>
      </c>
      <c r="D650" s="199"/>
      <c r="E650" s="152">
        <v>12</v>
      </c>
      <c r="F650" s="303">
        <f>HLOOKUP($C650,$BZ$2:$CM$3,2,0)</f>
        <v>12356.31</v>
      </c>
      <c r="G650" s="113">
        <f>D650*E650*F650</f>
        <v>0</v>
      </c>
      <c r="H650" s="166"/>
      <c r="I650" s="114" t="s">
        <v>494</v>
      </c>
      <c r="J650" s="114" t="str">
        <f>VLOOKUP(I650,Presupuesto!$B$11:$C$565,2,0)</f>
        <v>SUELDOS Y SALARIOS PERMANENTES</v>
      </c>
      <c r="K650" s="98" t="str">
        <f t="shared" ref="K650:K667" si="24">$K$617</f>
        <v>Posgrado</v>
      </c>
      <c r="L650" s="98" t="s">
        <v>393</v>
      </c>
    </row>
    <row r="651" spans="3:12" x14ac:dyDescent="0.25">
      <c r="C651" s="171" t="s">
        <v>58</v>
      </c>
      <c r="D651" s="163"/>
      <c r="E651" s="154">
        <v>0</v>
      </c>
      <c r="F651" s="100">
        <f>IF(E650=0,"",(G650/E650)/12*E650)</f>
        <v>0</v>
      </c>
      <c r="G651" s="97">
        <f>F651</f>
        <v>0</v>
      </c>
      <c r="H651" s="164"/>
      <c r="I651" s="116" t="s">
        <v>514</v>
      </c>
      <c r="J651" s="116" t="str">
        <f>VLOOKUP(I651,Presupuesto!$B$11:$C$565,2,0)</f>
        <v>AGUINALDO Y DECIMO CUARTO MES</v>
      </c>
      <c r="K651" s="98" t="str">
        <f t="shared" si="24"/>
        <v>Posgrado</v>
      </c>
      <c r="L651" s="98" t="s">
        <v>393</v>
      </c>
    </row>
    <row r="652" spans="3:12" ht="15.75" thickBot="1" x14ac:dyDescent="0.3">
      <c r="C652" s="172" t="s">
        <v>59</v>
      </c>
      <c r="D652" s="163"/>
      <c r="E652" s="154">
        <v>0</v>
      </c>
      <c r="F652" s="117">
        <f>IF(E650&lt;6,"",((E650-6)/12)*(G650/E650))</f>
        <v>0</v>
      </c>
      <c r="G652" s="97">
        <f>F652</f>
        <v>0</v>
      </c>
      <c r="H652" s="164"/>
      <c r="I652" s="101" t="s">
        <v>517</v>
      </c>
      <c r="J652" s="101" t="str">
        <f>VLOOKUP(I652,Presupuesto!$B$11:$C$565,2,0)</f>
        <v>DECIMOCUARTO MES</v>
      </c>
      <c r="K652" s="98" t="str">
        <f t="shared" si="24"/>
        <v>Posgrado</v>
      </c>
      <c r="L652" s="98" t="s">
        <v>393</v>
      </c>
    </row>
    <row r="653" spans="3:12" ht="15.75" thickBot="1" x14ac:dyDescent="0.3">
      <c r="C653" s="137" t="s">
        <v>492</v>
      </c>
      <c r="D653" s="199"/>
      <c r="E653" s="152">
        <v>12</v>
      </c>
      <c r="F653" s="303">
        <f>HLOOKUP($C653,$BZ$2:$CM$3,2,0)</f>
        <v>463.22</v>
      </c>
      <c r="G653" s="113">
        <f>D653*E653*F653</f>
        <v>0</v>
      </c>
      <c r="H653" s="166"/>
      <c r="I653" s="114" t="s">
        <v>494</v>
      </c>
      <c r="J653" s="114" t="str">
        <f>VLOOKUP(I653,Presupuesto!$B$11:$C$565,2,0)</f>
        <v>SUELDOS Y SALARIOS PERMANENTES</v>
      </c>
      <c r="K653" s="98" t="str">
        <f t="shared" si="24"/>
        <v>Posgrado</v>
      </c>
      <c r="L653" s="98" t="s">
        <v>393</v>
      </c>
    </row>
    <row r="654" spans="3:12" x14ac:dyDescent="0.25">
      <c r="C654" s="171" t="s">
        <v>58</v>
      </c>
      <c r="D654" s="163"/>
      <c r="E654" s="154">
        <v>0</v>
      </c>
      <c r="F654" s="100">
        <f>IF(E653=0,"",(G653/E653)/12*E653)</f>
        <v>0</v>
      </c>
      <c r="G654" s="97">
        <f>F654</f>
        <v>0</v>
      </c>
      <c r="H654" s="164"/>
      <c r="I654" s="116" t="s">
        <v>514</v>
      </c>
      <c r="J654" s="116" t="str">
        <f>VLOOKUP(I654,Presupuesto!$B$11:$C$565,2,0)</f>
        <v>AGUINALDO Y DECIMO CUARTO MES</v>
      </c>
      <c r="K654" s="98" t="str">
        <f t="shared" si="24"/>
        <v>Posgrado</v>
      </c>
      <c r="L654" s="98" t="s">
        <v>393</v>
      </c>
    </row>
    <row r="655" spans="3:12" ht="15.75" thickBot="1" x14ac:dyDescent="0.3">
      <c r="C655" s="172" t="s">
        <v>59</v>
      </c>
      <c r="D655" s="163"/>
      <c r="E655" s="154">
        <v>0</v>
      </c>
      <c r="F655" s="117">
        <f>IF(E653&lt;6,"",((E653-6)/12)*(G653/E653))</f>
        <v>0</v>
      </c>
      <c r="G655" s="97">
        <f>F655</f>
        <v>0</v>
      </c>
      <c r="H655" s="164"/>
      <c r="I655" s="101" t="s">
        <v>517</v>
      </c>
      <c r="J655" s="101" t="str">
        <f>VLOOKUP(I655,Presupuesto!$B$11:$C$565,2,0)</f>
        <v>DECIMOCUARTO MES</v>
      </c>
      <c r="K655" s="98" t="str">
        <f t="shared" si="24"/>
        <v>Posgrado</v>
      </c>
      <c r="L655" s="98" t="s">
        <v>393</v>
      </c>
    </row>
    <row r="656" spans="3:12" ht="15.75" thickBot="1" x14ac:dyDescent="0.3">
      <c r="C656" s="137" t="s">
        <v>493</v>
      </c>
      <c r="D656" s="199"/>
      <c r="E656" s="152">
        <v>12</v>
      </c>
      <c r="F656" s="303">
        <f>HLOOKUP($C656,$BZ$2:$CM$3,2,0)</f>
        <v>2007.3</v>
      </c>
      <c r="G656" s="113">
        <f>D656*E656*F656</f>
        <v>0</v>
      </c>
      <c r="H656" s="166"/>
      <c r="I656" s="114" t="s">
        <v>494</v>
      </c>
      <c r="J656" s="114" t="str">
        <f>VLOOKUP(I656,Presupuesto!$B$11:$C$565,2,0)</f>
        <v>SUELDOS Y SALARIOS PERMANENTES</v>
      </c>
      <c r="K656" s="98" t="str">
        <f t="shared" si="24"/>
        <v>Posgrado</v>
      </c>
      <c r="L656" s="98" t="s">
        <v>393</v>
      </c>
    </row>
    <row r="657" spans="3:12" x14ac:dyDescent="0.25">
      <c r="C657" s="171" t="s">
        <v>58</v>
      </c>
      <c r="D657" s="163"/>
      <c r="E657" s="154">
        <v>0</v>
      </c>
      <c r="F657" s="100">
        <f>IF(E656=0,"",(G656/E656)/12*E656)</f>
        <v>0</v>
      </c>
      <c r="G657" s="97">
        <f>F657</f>
        <v>0</v>
      </c>
      <c r="H657" s="164"/>
      <c r="I657" s="116" t="s">
        <v>514</v>
      </c>
      <c r="J657" s="116" t="str">
        <f>VLOOKUP(I657,Presupuesto!$B$11:$C$565,2,0)</f>
        <v>AGUINALDO Y DECIMO CUARTO MES</v>
      </c>
      <c r="K657" s="98" t="str">
        <f t="shared" si="24"/>
        <v>Posgrado</v>
      </c>
      <c r="L657" s="98" t="s">
        <v>393</v>
      </c>
    </row>
    <row r="658" spans="3:12" ht="15.75" thickBot="1" x14ac:dyDescent="0.3">
      <c r="C658" s="172" t="s">
        <v>59</v>
      </c>
      <c r="D658" s="163"/>
      <c r="E658" s="154">
        <v>0</v>
      </c>
      <c r="F658" s="117">
        <f>IF(E656&lt;6,"",((E656-6)/12)*(G656/E656))</f>
        <v>0</v>
      </c>
      <c r="G658" s="97">
        <f>F658</f>
        <v>0</v>
      </c>
      <c r="H658" s="164"/>
      <c r="I658" s="101" t="s">
        <v>517</v>
      </c>
      <c r="J658" s="101" t="str">
        <f>VLOOKUP(I658,Presupuesto!$B$11:$C$565,2,0)</f>
        <v>DECIMOCUARTO MES</v>
      </c>
      <c r="K658" s="98" t="str">
        <f t="shared" si="24"/>
        <v>Posgrado</v>
      </c>
      <c r="L658" s="98" t="s">
        <v>393</v>
      </c>
    </row>
    <row r="659" spans="3:12" ht="15.75" thickBot="1" x14ac:dyDescent="0.3">
      <c r="C659" s="140" t="s">
        <v>83</v>
      </c>
      <c r="D659" s="199"/>
      <c r="E659" s="152">
        <v>12</v>
      </c>
      <c r="F659" s="139">
        <v>30000</v>
      </c>
      <c r="G659" s="113">
        <f>D659*E659*F659</f>
        <v>0</v>
      </c>
      <c r="H659" s="166"/>
      <c r="I659" s="114" t="s">
        <v>562</v>
      </c>
      <c r="J659" s="114" t="str">
        <f>VLOOKUP(I659,Presupuesto!$B$11:$C$565,2,0)</f>
        <v>CONTRATOS ESPECIALES</v>
      </c>
      <c r="K659" s="98" t="str">
        <f t="shared" si="24"/>
        <v>Posgrado</v>
      </c>
      <c r="L659" s="98" t="s">
        <v>393</v>
      </c>
    </row>
    <row r="660" spans="3:12" x14ac:dyDescent="0.25">
      <c r="C660" s="171" t="s">
        <v>58</v>
      </c>
      <c r="D660" s="163"/>
      <c r="E660" s="154">
        <v>0</v>
      </c>
      <c r="F660" s="117">
        <f>IF(E659=0,"",(G659/E659)/12*E659)</f>
        <v>0</v>
      </c>
      <c r="G660" s="97">
        <f>F660</f>
        <v>0</v>
      </c>
      <c r="H660" s="164"/>
      <c r="I660" s="101" t="s">
        <v>562</v>
      </c>
      <c r="J660" s="101" t="str">
        <f>VLOOKUP(I660,Presupuesto!$B$11:$C$565,2,0)</f>
        <v>CONTRATOS ESPECIALES</v>
      </c>
      <c r="K660" s="98" t="str">
        <f t="shared" si="24"/>
        <v>Posgrado</v>
      </c>
      <c r="L660" s="98" t="s">
        <v>392</v>
      </c>
    </row>
    <row r="661" spans="3:12" ht="15.75" thickBot="1" x14ac:dyDescent="0.3">
      <c r="C661" s="172" t="s">
        <v>59</v>
      </c>
      <c r="D661" s="163"/>
      <c r="E661" s="154">
        <v>0</v>
      </c>
      <c r="F661" s="100">
        <f>IF(E659&lt;6,"",((E659-6)/12)*(G659/E659))</f>
        <v>0</v>
      </c>
      <c r="G661" s="97">
        <f>F661</f>
        <v>0</v>
      </c>
      <c r="H661" s="164"/>
      <c r="I661" s="101" t="s">
        <v>562</v>
      </c>
      <c r="J661" s="101" t="str">
        <f>VLOOKUP(I661,Presupuesto!$B$11:$C$565,2,0)</f>
        <v>CONTRATOS ESPECIALES</v>
      </c>
      <c r="K661" s="98" t="str">
        <f t="shared" si="24"/>
        <v>Posgrado</v>
      </c>
      <c r="L661" s="98" t="s">
        <v>397</v>
      </c>
    </row>
    <row r="662" spans="3:12" ht="15.75" thickBot="1" x14ac:dyDescent="0.3">
      <c r="C662" s="140" t="s">
        <v>60</v>
      </c>
      <c r="D662" s="199"/>
      <c r="E662" s="152">
        <v>12</v>
      </c>
      <c r="F662" s="118">
        <v>30000</v>
      </c>
      <c r="G662" s="113">
        <f>D662*E662*F662</f>
        <v>0</v>
      </c>
      <c r="H662" s="166"/>
      <c r="I662" s="114" t="s">
        <v>703</v>
      </c>
      <c r="J662" s="114" t="str">
        <f>VLOOKUP(I662,Presupuesto!$B$11:$C$565,2,0)</f>
        <v>OTROS SERVICIOS TECNICOS Y PROFESIONALES</v>
      </c>
      <c r="K662" s="98" t="str">
        <f t="shared" si="24"/>
        <v>Posgrado</v>
      </c>
      <c r="L662" s="98" t="s">
        <v>392</v>
      </c>
    </row>
    <row r="663" spans="3:12" x14ac:dyDescent="0.25">
      <c r="C663" s="171" t="s">
        <v>58</v>
      </c>
      <c r="D663" s="163"/>
      <c r="E663" s="154">
        <v>0</v>
      </c>
      <c r="F663" s="100">
        <v>0</v>
      </c>
      <c r="G663" s="97">
        <f>F663</f>
        <v>0</v>
      </c>
      <c r="H663" s="164"/>
      <c r="I663" s="101" t="s">
        <v>703</v>
      </c>
      <c r="J663" s="101" t="str">
        <f>VLOOKUP(I663,Presupuesto!$B$11:$C$565,2,0)</f>
        <v>OTROS SERVICIOS TECNICOS Y PROFESIONALES</v>
      </c>
      <c r="K663" s="98" t="str">
        <f t="shared" si="24"/>
        <v>Posgrado</v>
      </c>
      <c r="L663" s="98" t="s">
        <v>392</v>
      </c>
    </row>
    <row r="664" spans="3:12" ht="15.75" thickBot="1" x14ac:dyDescent="0.3">
      <c r="C664" s="172" t="s">
        <v>59</v>
      </c>
      <c r="D664" s="163"/>
      <c r="E664" s="154">
        <v>0</v>
      </c>
      <c r="F664" s="100">
        <v>0</v>
      </c>
      <c r="G664" s="97">
        <f>F664</f>
        <v>0</v>
      </c>
      <c r="H664" s="164"/>
      <c r="I664" s="101" t="s">
        <v>703</v>
      </c>
      <c r="J664" s="101" t="str">
        <f>VLOOKUP(I664,Presupuesto!$B$11:$C$565,2,0)</f>
        <v>OTROS SERVICIOS TECNICOS Y PROFESIONALES</v>
      </c>
      <c r="K664" s="98" t="str">
        <f t="shared" si="24"/>
        <v>Posgrado</v>
      </c>
      <c r="L664" s="98" t="s">
        <v>392</v>
      </c>
    </row>
    <row r="665" spans="3:12" ht="15.75" thickBot="1" x14ac:dyDescent="0.3">
      <c r="C665" s="140" t="s">
        <v>61</v>
      </c>
      <c r="D665" s="199"/>
      <c r="E665" s="152">
        <v>12</v>
      </c>
      <c r="F665" s="118">
        <v>30000</v>
      </c>
      <c r="G665" s="113">
        <f>D665*E665*F665</f>
        <v>0</v>
      </c>
      <c r="H665" s="166"/>
      <c r="I665" s="114" t="s">
        <v>494</v>
      </c>
      <c r="J665" s="114" t="str">
        <f>VLOOKUP(I665,Presupuesto!$B$11:$C$565,2,0)</f>
        <v>SUELDOS Y SALARIOS PERMANENTES</v>
      </c>
      <c r="K665" s="98" t="str">
        <f t="shared" si="24"/>
        <v>Posgrado</v>
      </c>
      <c r="L665" s="98" t="s">
        <v>392</v>
      </c>
    </row>
    <row r="666" spans="3:12" x14ac:dyDescent="0.25">
      <c r="C666" s="171" t="s">
        <v>58</v>
      </c>
      <c r="D666" s="169"/>
      <c r="E666" s="131">
        <v>0</v>
      </c>
      <c r="F666" s="119">
        <f>IF(E665=0,"",(G665/E665)/12*E665)</f>
        <v>0</v>
      </c>
      <c r="G666" s="120">
        <f>F666</f>
        <v>0</v>
      </c>
      <c r="H666" s="164"/>
      <c r="I666" s="101" t="s">
        <v>514</v>
      </c>
      <c r="J666" s="101" t="str">
        <f>VLOOKUP(I666,Presupuesto!$B$11:$C$565,2,0)</f>
        <v>AGUINALDO Y DECIMO CUARTO MES</v>
      </c>
      <c r="K666" s="98" t="str">
        <f t="shared" si="24"/>
        <v>Posgrado</v>
      </c>
      <c r="L666" s="98" t="s">
        <v>392</v>
      </c>
    </row>
    <row r="667" spans="3:12" ht="15.75" thickBot="1" x14ac:dyDescent="0.3">
      <c r="C667" s="173" t="s">
        <v>59</v>
      </c>
      <c r="D667" s="162"/>
      <c r="E667" s="132">
        <v>0</v>
      </c>
      <c r="F667" s="105">
        <f>IF(E665&lt;6,"",((E665-6)/12)*(G665/E665))</f>
        <v>0</v>
      </c>
      <c r="G667" s="105">
        <f>F667</f>
        <v>0</v>
      </c>
      <c r="H667" s="162"/>
      <c r="I667" s="106" t="s">
        <v>517</v>
      </c>
      <c r="J667" s="124" t="str">
        <f>VLOOKUP(I667,Presupuesto!$B$11:$C$565,2,0)</f>
        <v>DECIMOCUARTO MES</v>
      </c>
      <c r="K667" s="106" t="str">
        <f t="shared" si="24"/>
        <v>Posgrado</v>
      </c>
      <c r="L667" s="124" t="s">
        <v>392</v>
      </c>
    </row>
    <row r="669" spans="3:12" ht="15.75" thickBot="1" x14ac:dyDescent="0.3"/>
    <row r="670" spans="3:12" ht="15.75" thickBot="1" x14ac:dyDescent="0.3">
      <c r="C670" s="69" t="s">
        <v>43</v>
      </c>
      <c r="D670" s="30">
        <f>SUM(G677:G727)</f>
        <v>0</v>
      </c>
      <c r="E670" s="93"/>
      <c r="F670" s="93"/>
      <c r="G670" s="93"/>
      <c r="H670" s="76"/>
      <c r="I670" s="76"/>
      <c r="J670" s="76"/>
    </row>
    <row r="671" spans="3:12" x14ac:dyDescent="0.25">
      <c r="D671" s="31"/>
      <c r="E671" s="93"/>
      <c r="F671" s="93"/>
      <c r="G671" s="93"/>
      <c r="H671" s="76"/>
      <c r="I671" s="76"/>
      <c r="J671" s="76"/>
      <c r="K671" s="153"/>
    </row>
    <row r="672" spans="3:12" x14ac:dyDescent="0.25">
      <c r="D672" s="31"/>
      <c r="E672" s="93"/>
      <c r="F672" s="93"/>
      <c r="G672" s="93"/>
      <c r="H672" s="76"/>
      <c r="I672" s="76"/>
      <c r="J672" s="76"/>
      <c r="K672" s="153"/>
    </row>
    <row r="673" spans="3:12" ht="15.75" x14ac:dyDescent="0.25">
      <c r="C673" s="202" t="s">
        <v>390</v>
      </c>
      <c r="D673" s="368"/>
      <c r="E673" s="93"/>
      <c r="F673" s="93"/>
      <c r="G673" s="93"/>
      <c r="H673" s="76"/>
      <c r="I673" s="76"/>
      <c r="J673" s="76"/>
      <c r="K673" s="153"/>
    </row>
    <row r="674" spans="3:12" ht="18.75" x14ac:dyDescent="0.25">
      <c r="C674" s="210" t="e">
        <f>IFERROR(VLOOKUP(D673,'1. Desarrollo e Innov. Curricu.'!$F:$G,2,FALSE),IFERROR(VLOOKUP(D673,'2. Investigación Científica'!$F:$G,2,FALSE),IFERROR(VLOOKUP(D673,'3. Vinculación Univ. Sociedad'!$F:$G,2,FALSE),IFERROR(VLOOKUP(D673,'4. Docencia y Profesorado Univ.'!$F:$G,2,FALSE),IFERROR(VLOOKUP(D673,'5. Estudiantes y Graduados'!$F:$G,2,FALSE),IFERROR(VLOOKUP(D673,'11. Gestion Administrativa'!$F:$G,2,FALSE),IFERROR(VLOOKUP(D673,'13. Gestión Académica'!$F:$G,2,FALSE),IFERROR(VLOOKUP(D673,'9. Asegura. de la Calid. y M'!$F:$G,2,FALSE),IFERROR(VLOOKUP(D673,'6. Gestión del Conocimiento'!$F:$G,2,FALSE),IFERROR(VLOOKUP(D673,'15. Gobernabilidad y Proceso...'!$G:$H,2,FALSE),IFERROR(VLOOKUP(D673,'12. Gestión del Talento Humano'!$F:$G,2,FALSE),IFERROR(VLOOKUP(D673,'14. Internacional... de la E.S.'!$F:$G,2,FALSE),IFERROR(VLOOKUP(D673,'10. Posgrado'!$F:$G,2,FALSE),IFERROR(VLOOKUP(D673,'17. Gestión TIC'!$F:$G,2,FALSE),IFERROR(VLOOKUP(D673,'16. Desa. del Sistema Educ.Sup.'!$F:$G,2,FALSE),IFERROR(VLOOKUP(D673,'8. Cultura de Inno. Insti...'!$F:$G,2,FALSE),VLOOKUP(D673,'7. Lo Esencial de la Reforma U.'!$G:$H,2,0)))))))))))))))))</f>
        <v>#N/A</v>
      </c>
      <c r="D674" s="31"/>
      <c r="E674" s="93"/>
      <c r="F674" s="93"/>
      <c r="G674" s="93"/>
      <c r="H674" s="76"/>
      <c r="I674" s="76"/>
      <c r="J674" s="76"/>
      <c r="K674" s="153"/>
    </row>
    <row r="675" spans="3:12" ht="15.75" thickBot="1" x14ac:dyDescent="0.3">
      <c r="C675" s="177"/>
      <c r="D675" s="31"/>
      <c r="E675" s="93"/>
      <c r="F675" s="93"/>
      <c r="G675" s="93"/>
      <c r="H675" s="76"/>
      <c r="I675" s="76"/>
      <c r="J675" s="76"/>
      <c r="K675" s="153"/>
    </row>
    <row r="676" spans="3:12" ht="30.75" thickBot="1" x14ac:dyDescent="0.3">
      <c r="C676" s="134" t="s">
        <v>44</v>
      </c>
      <c r="D676" s="138" t="s">
        <v>55</v>
      </c>
      <c r="E676" s="170" t="s">
        <v>56</v>
      </c>
      <c r="F676" s="138" t="s">
        <v>57</v>
      </c>
      <c r="G676" s="135" t="s">
        <v>27</v>
      </c>
      <c r="H676" s="133" t="s">
        <v>129</v>
      </c>
      <c r="I676" s="136" t="s">
        <v>46</v>
      </c>
      <c r="J676" s="136" t="s">
        <v>130</v>
      </c>
      <c r="K676" s="136" t="s">
        <v>408</v>
      </c>
      <c r="L676" s="136" t="s">
        <v>409</v>
      </c>
    </row>
    <row r="677" spans="3:12" ht="15.75" thickBot="1" x14ac:dyDescent="0.3">
      <c r="C677" s="137" t="s">
        <v>480</v>
      </c>
      <c r="D677" s="199"/>
      <c r="E677" s="152">
        <v>12</v>
      </c>
      <c r="F677" s="303">
        <f>HLOOKUP($C677,$BZ$2:$CM$3,2,0)</f>
        <v>43674.39</v>
      </c>
      <c r="G677" s="113">
        <f>D677*E677*F677</f>
        <v>0</v>
      </c>
      <c r="H677" s="166"/>
      <c r="I677" s="114" t="s">
        <v>494</v>
      </c>
      <c r="J677" s="114" t="str">
        <f>VLOOKUP(I677,Presupuesto!$B$11:$C$565,2,0)</f>
        <v>SUELDOS Y SALARIOS PERMANENTES</v>
      </c>
      <c r="K677" s="218" t="s">
        <v>1443</v>
      </c>
      <c r="L677" s="98" t="s">
        <v>392</v>
      </c>
    </row>
    <row r="678" spans="3:12" x14ac:dyDescent="0.25">
      <c r="C678" s="171" t="s">
        <v>58</v>
      </c>
      <c r="D678" s="163"/>
      <c r="E678" s="154">
        <v>0</v>
      </c>
      <c r="F678" s="100">
        <f>IF(E677=0,"",(G677/E677)/12*E677)</f>
        <v>0</v>
      </c>
      <c r="G678" s="97">
        <f>F678</f>
        <v>0</v>
      </c>
      <c r="H678" s="164"/>
      <c r="I678" s="116" t="s">
        <v>514</v>
      </c>
      <c r="J678" s="116" t="str">
        <f>VLOOKUP(I678,Presupuesto!$B$11:$C$565,2,0)</f>
        <v>AGUINALDO Y DECIMO CUARTO MES</v>
      </c>
      <c r="K678" s="98" t="str">
        <f t="shared" ref="K678:K709" si="25">$K$677</f>
        <v>Posgrado</v>
      </c>
      <c r="L678" s="98" t="s">
        <v>410</v>
      </c>
    </row>
    <row r="679" spans="3:12" ht="15.75" thickBot="1" x14ac:dyDescent="0.3">
      <c r="C679" s="172" t="s">
        <v>59</v>
      </c>
      <c r="D679" s="163"/>
      <c r="E679" s="154">
        <v>0</v>
      </c>
      <c r="F679" s="117">
        <f>IF(E677&lt;6,"",((E677-6)/12)*(G677/E677))</f>
        <v>0</v>
      </c>
      <c r="G679" s="97">
        <f>F679</f>
        <v>0</v>
      </c>
      <c r="H679" s="164"/>
      <c r="I679" s="101" t="s">
        <v>517</v>
      </c>
      <c r="J679" s="101" t="str">
        <f>VLOOKUP(I679,Presupuesto!$B$11:$C$565,2,0)</f>
        <v>DECIMOCUARTO MES</v>
      </c>
      <c r="K679" s="98" t="str">
        <f t="shared" si="25"/>
        <v>Posgrado</v>
      </c>
      <c r="L679" s="98" t="s">
        <v>393</v>
      </c>
    </row>
    <row r="680" spans="3:12" ht="15.75" thickBot="1" x14ac:dyDescent="0.3">
      <c r="C680" s="137" t="s">
        <v>481</v>
      </c>
      <c r="D680" s="199"/>
      <c r="E680" s="152">
        <v>12</v>
      </c>
      <c r="F680" s="303">
        <f>HLOOKUP($C680,$BZ$2:$CM$3,2,0)</f>
        <v>39703.99</v>
      </c>
      <c r="G680" s="113">
        <f>D680*E680*F680</f>
        <v>0</v>
      </c>
      <c r="H680" s="166"/>
      <c r="I680" s="114" t="s">
        <v>494</v>
      </c>
      <c r="J680" s="114" t="str">
        <f>VLOOKUP(I680,Presupuesto!$B$11:$C$565,2,0)</f>
        <v>SUELDOS Y SALARIOS PERMANENTES</v>
      </c>
      <c r="K680" s="98" t="str">
        <f t="shared" si="25"/>
        <v>Posgrado</v>
      </c>
      <c r="L680" s="98" t="s">
        <v>393</v>
      </c>
    </row>
    <row r="681" spans="3:12" x14ac:dyDescent="0.25">
      <c r="C681" s="171" t="s">
        <v>58</v>
      </c>
      <c r="D681" s="163"/>
      <c r="E681" s="154">
        <v>0</v>
      </c>
      <c r="F681" s="100">
        <f>IF(E680=0,"",(G680/E680)/12*E680)</f>
        <v>0</v>
      </c>
      <c r="G681" s="97">
        <f>F681</f>
        <v>0</v>
      </c>
      <c r="H681" s="164"/>
      <c r="I681" s="116" t="s">
        <v>514</v>
      </c>
      <c r="J681" s="116" t="str">
        <f>VLOOKUP(I681,Presupuesto!$B$11:$C$565,2,0)</f>
        <v>AGUINALDO Y DECIMO CUARTO MES</v>
      </c>
      <c r="K681" s="98" t="str">
        <f t="shared" si="25"/>
        <v>Posgrado</v>
      </c>
      <c r="L681" s="98" t="s">
        <v>393</v>
      </c>
    </row>
    <row r="682" spans="3:12" ht="15.75" thickBot="1" x14ac:dyDescent="0.3">
      <c r="C682" s="172" t="s">
        <v>59</v>
      </c>
      <c r="D682" s="163"/>
      <c r="E682" s="154">
        <v>0</v>
      </c>
      <c r="F682" s="117">
        <f>IF(E680&lt;6,"",((E680-6)/12)*(G680/E680))</f>
        <v>0</v>
      </c>
      <c r="G682" s="97">
        <f>F682</f>
        <v>0</v>
      </c>
      <c r="H682" s="164"/>
      <c r="I682" s="101" t="s">
        <v>517</v>
      </c>
      <c r="J682" s="101" t="str">
        <f>VLOOKUP(I682,Presupuesto!$B$11:$C$565,2,0)</f>
        <v>DECIMOCUARTO MES</v>
      </c>
      <c r="K682" s="98" t="str">
        <f t="shared" si="25"/>
        <v>Posgrado</v>
      </c>
      <c r="L682" s="98" t="s">
        <v>393</v>
      </c>
    </row>
    <row r="683" spans="3:12" ht="15.75" thickBot="1" x14ac:dyDescent="0.3">
      <c r="C683" s="137" t="s">
        <v>482</v>
      </c>
      <c r="D683" s="199"/>
      <c r="E683" s="152">
        <v>12</v>
      </c>
      <c r="F683" s="303">
        <f>HLOOKUP($C683,$BZ$2:$CM$3,2,0)</f>
        <v>35733.589999999997</v>
      </c>
      <c r="G683" s="113">
        <f>D683*E683*F683</f>
        <v>0</v>
      </c>
      <c r="H683" s="166"/>
      <c r="I683" s="114" t="s">
        <v>494</v>
      </c>
      <c r="J683" s="114" t="str">
        <f>VLOOKUP(I683,Presupuesto!$B$11:$C$565,2,0)</f>
        <v>SUELDOS Y SALARIOS PERMANENTES</v>
      </c>
      <c r="K683" s="98" t="str">
        <f t="shared" si="25"/>
        <v>Posgrado</v>
      </c>
      <c r="L683" s="98" t="s">
        <v>393</v>
      </c>
    </row>
    <row r="684" spans="3:12" x14ac:dyDescent="0.25">
      <c r="C684" s="171" t="s">
        <v>58</v>
      </c>
      <c r="D684" s="163"/>
      <c r="E684" s="154">
        <v>0</v>
      </c>
      <c r="F684" s="100">
        <f>IF(E683=0,"",(G683/E683)/12*E683)</f>
        <v>0</v>
      </c>
      <c r="G684" s="97">
        <f>F684</f>
        <v>0</v>
      </c>
      <c r="H684" s="164"/>
      <c r="I684" s="116" t="s">
        <v>514</v>
      </c>
      <c r="J684" s="116" t="str">
        <f>VLOOKUP(I684,Presupuesto!$B$11:$C$565,2,0)</f>
        <v>AGUINALDO Y DECIMO CUARTO MES</v>
      </c>
      <c r="K684" s="98" t="str">
        <f t="shared" si="25"/>
        <v>Posgrado</v>
      </c>
      <c r="L684" s="98" t="s">
        <v>393</v>
      </c>
    </row>
    <row r="685" spans="3:12" ht="15.75" thickBot="1" x14ac:dyDescent="0.3">
      <c r="C685" s="172" t="s">
        <v>59</v>
      </c>
      <c r="D685" s="163"/>
      <c r="E685" s="154">
        <v>0</v>
      </c>
      <c r="F685" s="117">
        <f>IF(E683&lt;6,"",((E683-6)/12)*(G683/E683))</f>
        <v>0</v>
      </c>
      <c r="G685" s="97">
        <f>F685</f>
        <v>0</v>
      </c>
      <c r="H685" s="164"/>
      <c r="I685" s="101" t="s">
        <v>517</v>
      </c>
      <c r="J685" s="101" t="str">
        <f>VLOOKUP(I685,Presupuesto!$B$11:$C$565,2,0)</f>
        <v>DECIMOCUARTO MES</v>
      </c>
      <c r="K685" s="98" t="str">
        <f t="shared" si="25"/>
        <v>Posgrado</v>
      </c>
      <c r="L685" s="98" t="s">
        <v>393</v>
      </c>
    </row>
    <row r="686" spans="3:12" ht="15.75" thickBot="1" x14ac:dyDescent="0.3">
      <c r="C686" s="137" t="s">
        <v>483</v>
      </c>
      <c r="D686" s="199"/>
      <c r="E686" s="152">
        <v>12</v>
      </c>
      <c r="F686" s="303">
        <f>HLOOKUP($C686,$BZ$2:$CM$3,2,0)</f>
        <v>31763.19</v>
      </c>
      <c r="G686" s="113">
        <f>D686*E686*F686</f>
        <v>0</v>
      </c>
      <c r="H686" s="166"/>
      <c r="I686" s="114" t="s">
        <v>494</v>
      </c>
      <c r="J686" s="114" t="str">
        <f>VLOOKUP(I686,Presupuesto!$B$11:$C$565,2,0)</f>
        <v>SUELDOS Y SALARIOS PERMANENTES</v>
      </c>
      <c r="K686" s="98" t="str">
        <f t="shared" si="25"/>
        <v>Posgrado</v>
      </c>
      <c r="L686" s="98" t="s">
        <v>393</v>
      </c>
    </row>
    <row r="687" spans="3:12" x14ac:dyDescent="0.25">
      <c r="C687" s="171" t="s">
        <v>58</v>
      </c>
      <c r="D687" s="163"/>
      <c r="E687" s="154">
        <v>0</v>
      </c>
      <c r="F687" s="100">
        <f>IF(E686=0,"",(G686/E686)/12*E686)</f>
        <v>0</v>
      </c>
      <c r="G687" s="97">
        <f>F687</f>
        <v>0</v>
      </c>
      <c r="H687" s="164"/>
      <c r="I687" s="116" t="s">
        <v>514</v>
      </c>
      <c r="J687" s="116" t="str">
        <f>VLOOKUP(I687,Presupuesto!$B$11:$C$565,2,0)</f>
        <v>AGUINALDO Y DECIMO CUARTO MES</v>
      </c>
      <c r="K687" s="98" t="str">
        <f t="shared" si="25"/>
        <v>Posgrado</v>
      </c>
      <c r="L687" s="98" t="s">
        <v>393</v>
      </c>
    </row>
    <row r="688" spans="3:12" ht="15.75" thickBot="1" x14ac:dyDescent="0.3">
      <c r="C688" s="172" t="s">
        <v>59</v>
      </c>
      <c r="D688" s="163"/>
      <c r="E688" s="154">
        <v>0</v>
      </c>
      <c r="F688" s="117">
        <f>IF(E686&lt;6,"",((E686-6)/12)*(G686/E686))</f>
        <v>0</v>
      </c>
      <c r="G688" s="97">
        <f>F688</f>
        <v>0</v>
      </c>
      <c r="H688" s="164"/>
      <c r="I688" s="101" t="s">
        <v>517</v>
      </c>
      <c r="J688" s="101" t="str">
        <f>VLOOKUP(I688,Presupuesto!$B$11:$C$565,2,0)</f>
        <v>DECIMOCUARTO MES</v>
      </c>
      <c r="K688" s="98" t="str">
        <f t="shared" si="25"/>
        <v>Posgrado</v>
      </c>
      <c r="L688" s="98" t="s">
        <v>393</v>
      </c>
    </row>
    <row r="689" spans="3:12" ht="15.75" thickBot="1" x14ac:dyDescent="0.3">
      <c r="C689" s="137" t="s">
        <v>484</v>
      </c>
      <c r="D689" s="199"/>
      <c r="E689" s="152">
        <v>12</v>
      </c>
      <c r="F689" s="303">
        <f>HLOOKUP($C689,$BZ$2:$CM$3,2,0)</f>
        <v>29777.99</v>
      </c>
      <c r="G689" s="113">
        <f>D689*E689*F689</f>
        <v>0</v>
      </c>
      <c r="H689" s="166"/>
      <c r="I689" s="114" t="s">
        <v>494</v>
      </c>
      <c r="J689" s="114" t="str">
        <f>VLOOKUP(I689,Presupuesto!$B$11:$C$565,2,0)</f>
        <v>SUELDOS Y SALARIOS PERMANENTES</v>
      </c>
      <c r="K689" s="98" t="str">
        <f t="shared" si="25"/>
        <v>Posgrado</v>
      </c>
      <c r="L689" s="98" t="s">
        <v>393</v>
      </c>
    </row>
    <row r="690" spans="3:12" x14ac:dyDescent="0.25">
      <c r="C690" s="171" t="s">
        <v>58</v>
      </c>
      <c r="D690" s="163"/>
      <c r="E690" s="154">
        <v>0</v>
      </c>
      <c r="F690" s="100">
        <f>IF(E689=0,"",(G689/E689)/12*E689)</f>
        <v>0</v>
      </c>
      <c r="G690" s="97">
        <f>F690</f>
        <v>0</v>
      </c>
      <c r="H690" s="164"/>
      <c r="I690" s="116" t="s">
        <v>514</v>
      </c>
      <c r="J690" s="116" t="str">
        <f>VLOOKUP(I690,Presupuesto!$B$11:$C$565,2,0)</f>
        <v>AGUINALDO Y DECIMO CUARTO MES</v>
      </c>
      <c r="K690" s="98" t="str">
        <f t="shared" si="25"/>
        <v>Posgrado</v>
      </c>
      <c r="L690" s="98" t="s">
        <v>393</v>
      </c>
    </row>
    <row r="691" spans="3:12" ht="15.75" thickBot="1" x14ac:dyDescent="0.3">
      <c r="C691" s="172" t="s">
        <v>59</v>
      </c>
      <c r="D691" s="163"/>
      <c r="E691" s="154">
        <v>0</v>
      </c>
      <c r="F691" s="117">
        <f>IF(E689&lt;6,"",((E689-6)/12)*(G689/E689))</f>
        <v>0</v>
      </c>
      <c r="G691" s="97">
        <f>F691</f>
        <v>0</v>
      </c>
      <c r="H691" s="164"/>
      <c r="I691" s="101" t="s">
        <v>517</v>
      </c>
      <c r="J691" s="101" t="str">
        <f>VLOOKUP(I691,Presupuesto!$B$11:$C$565,2,0)</f>
        <v>DECIMOCUARTO MES</v>
      </c>
      <c r="K691" s="98" t="str">
        <f t="shared" si="25"/>
        <v>Posgrado</v>
      </c>
      <c r="L691" s="98" t="s">
        <v>393</v>
      </c>
    </row>
    <row r="692" spans="3:12" ht="15.75" thickBot="1" x14ac:dyDescent="0.3">
      <c r="C692" s="137" t="s">
        <v>485</v>
      </c>
      <c r="D692" s="199"/>
      <c r="E692" s="152">
        <v>12</v>
      </c>
      <c r="F692" s="303">
        <f>HLOOKUP($C692,$BZ$2:$CM$3,2,0)</f>
        <v>27792.79</v>
      </c>
      <c r="G692" s="113">
        <f>D692*E692*F692</f>
        <v>0</v>
      </c>
      <c r="H692" s="166"/>
      <c r="I692" s="114" t="s">
        <v>494</v>
      </c>
      <c r="J692" s="114" t="str">
        <f>VLOOKUP(I692,Presupuesto!$B$11:$C$565,2,0)</f>
        <v>SUELDOS Y SALARIOS PERMANENTES</v>
      </c>
      <c r="K692" s="98" t="str">
        <f t="shared" si="25"/>
        <v>Posgrado</v>
      </c>
      <c r="L692" s="98" t="s">
        <v>393</v>
      </c>
    </row>
    <row r="693" spans="3:12" x14ac:dyDescent="0.25">
      <c r="C693" s="171" t="s">
        <v>58</v>
      </c>
      <c r="D693" s="163"/>
      <c r="E693" s="154">
        <v>0</v>
      </c>
      <c r="F693" s="100">
        <f>IF(E692=0,"",(G692/E692)/12*E692)</f>
        <v>0</v>
      </c>
      <c r="G693" s="97">
        <f>F693</f>
        <v>0</v>
      </c>
      <c r="H693" s="164"/>
      <c r="I693" s="116" t="s">
        <v>514</v>
      </c>
      <c r="J693" s="116" t="str">
        <f>VLOOKUP(I693,Presupuesto!$B$11:$C$565,2,0)</f>
        <v>AGUINALDO Y DECIMO CUARTO MES</v>
      </c>
      <c r="K693" s="98" t="str">
        <f t="shared" si="25"/>
        <v>Posgrado</v>
      </c>
      <c r="L693" s="98" t="s">
        <v>393</v>
      </c>
    </row>
    <row r="694" spans="3:12" ht="15.75" thickBot="1" x14ac:dyDescent="0.3">
      <c r="C694" s="172" t="s">
        <v>59</v>
      </c>
      <c r="D694" s="163"/>
      <c r="E694" s="154">
        <v>0</v>
      </c>
      <c r="F694" s="117">
        <f>IF(E692&lt;6,"",((E692-6)/12)*(G692/E692))</f>
        <v>0</v>
      </c>
      <c r="G694" s="97">
        <f>F694</f>
        <v>0</v>
      </c>
      <c r="H694" s="164"/>
      <c r="I694" s="101" t="s">
        <v>517</v>
      </c>
      <c r="J694" s="101" t="str">
        <f>VLOOKUP(I694,Presupuesto!$B$11:$C$565,2,0)</f>
        <v>DECIMOCUARTO MES</v>
      </c>
      <c r="K694" s="98" t="str">
        <f t="shared" si="25"/>
        <v>Posgrado</v>
      </c>
      <c r="L694" s="98" t="s">
        <v>393</v>
      </c>
    </row>
    <row r="695" spans="3:12" ht="15.75" thickBot="1" x14ac:dyDescent="0.3">
      <c r="C695" s="137" t="s">
        <v>486</v>
      </c>
      <c r="D695" s="199"/>
      <c r="E695" s="152">
        <v>12</v>
      </c>
      <c r="F695" s="303">
        <f>HLOOKUP($C695,$BZ$2:$CM$3,2,0)</f>
        <v>18859.39</v>
      </c>
      <c r="G695" s="113">
        <f>D695*E695*F695</f>
        <v>0</v>
      </c>
      <c r="H695" s="166"/>
      <c r="I695" s="114" t="s">
        <v>494</v>
      </c>
      <c r="J695" s="114" t="str">
        <f>VLOOKUP(I695,Presupuesto!$B$11:$C$565,2,0)</f>
        <v>SUELDOS Y SALARIOS PERMANENTES</v>
      </c>
      <c r="K695" s="98" t="str">
        <f t="shared" si="25"/>
        <v>Posgrado</v>
      </c>
      <c r="L695" s="98" t="s">
        <v>393</v>
      </c>
    </row>
    <row r="696" spans="3:12" x14ac:dyDescent="0.25">
      <c r="C696" s="171" t="s">
        <v>58</v>
      </c>
      <c r="D696" s="163"/>
      <c r="E696" s="154">
        <v>0</v>
      </c>
      <c r="F696" s="100">
        <f>IF(E695=0,"",(G695/E695)/12*E695)</f>
        <v>0</v>
      </c>
      <c r="G696" s="97">
        <f>F696</f>
        <v>0</v>
      </c>
      <c r="H696" s="164"/>
      <c r="I696" s="116" t="s">
        <v>514</v>
      </c>
      <c r="J696" s="116" t="str">
        <f>VLOOKUP(I696,Presupuesto!$B$11:$C$565,2,0)</f>
        <v>AGUINALDO Y DECIMO CUARTO MES</v>
      </c>
      <c r="K696" s="98" t="str">
        <f t="shared" si="25"/>
        <v>Posgrado</v>
      </c>
      <c r="L696" s="98" t="s">
        <v>393</v>
      </c>
    </row>
    <row r="697" spans="3:12" ht="15.75" thickBot="1" x14ac:dyDescent="0.3">
      <c r="C697" s="172" t="s">
        <v>59</v>
      </c>
      <c r="D697" s="163"/>
      <c r="E697" s="154">
        <v>0</v>
      </c>
      <c r="F697" s="117">
        <f>IF(E695&lt;6,"",((E695-6)/12)*(G695/E695))</f>
        <v>0</v>
      </c>
      <c r="G697" s="97">
        <f>F697</f>
        <v>0</v>
      </c>
      <c r="H697" s="164"/>
      <c r="I697" s="101" t="s">
        <v>517</v>
      </c>
      <c r="J697" s="101" t="str">
        <f>VLOOKUP(I697,Presupuesto!$B$11:$C$565,2,0)</f>
        <v>DECIMOCUARTO MES</v>
      </c>
      <c r="K697" s="98" t="str">
        <f t="shared" si="25"/>
        <v>Posgrado</v>
      </c>
      <c r="L697" s="98" t="s">
        <v>393</v>
      </c>
    </row>
    <row r="698" spans="3:12" ht="15.75" thickBot="1" x14ac:dyDescent="0.3">
      <c r="C698" s="137" t="s">
        <v>487</v>
      </c>
      <c r="D698" s="199"/>
      <c r="E698" s="152">
        <v>12</v>
      </c>
      <c r="F698" s="303">
        <f>HLOOKUP($C698,$BZ$2:$CM$3,2,0)</f>
        <v>17866.8</v>
      </c>
      <c r="G698" s="113">
        <f>D698*E698*F698</f>
        <v>0</v>
      </c>
      <c r="H698" s="166"/>
      <c r="I698" s="114" t="s">
        <v>494</v>
      </c>
      <c r="J698" s="114" t="str">
        <f>VLOOKUP(I698,Presupuesto!$B$11:$C$565,2,0)</f>
        <v>SUELDOS Y SALARIOS PERMANENTES</v>
      </c>
      <c r="K698" s="98" t="str">
        <f t="shared" si="25"/>
        <v>Posgrado</v>
      </c>
      <c r="L698" s="98" t="s">
        <v>393</v>
      </c>
    </row>
    <row r="699" spans="3:12" x14ac:dyDescent="0.25">
      <c r="C699" s="171" t="s">
        <v>58</v>
      </c>
      <c r="D699" s="163"/>
      <c r="E699" s="154">
        <v>0</v>
      </c>
      <c r="F699" s="100">
        <f>IF(E698=0,"",(G698/E698)/12*E698)</f>
        <v>0</v>
      </c>
      <c r="G699" s="97">
        <f>F699</f>
        <v>0</v>
      </c>
      <c r="H699" s="164"/>
      <c r="I699" s="116" t="s">
        <v>514</v>
      </c>
      <c r="J699" s="116" t="str">
        <f>VLOOKUP(I699,Presupuesto!$B$11:$C$565,2,0)</f>
        <v>AGUINALDO Y DECIMO CUARTO MES</v>
      </c>
      <c r="K699" s="98" t="str">
        <f t="shared" si="25"/>
        <v>Posgrado</v>
      </c>
      <c r="L699" s="98" t="s">
        <v>393</v>
      </c>
    </row>
    <row r="700" spans="3:12" ht="15.75" thickBot="1" x14ac:dyDescent="0.3">
      <c r="C700" s="172" t="s">
        <v>59</v>
      </c>
      <c r="D700" s="163"/>
      <c r="E700" s="154">
        <v>0</v>
      </c>
      <c r="F700" s="117">
        <f>IF(E698&lt;6,"",((E698-6)/12)*(G698/E698))</f>
        <v>0</v>
      </c>
      <c r="G700" s="97">
        <f>F700</f>
        <v>0</v>
      </c>
      <c r="H700" s="164"/>
      <c r="I700" s="101" t="s">
        <v>517</v>
      </c>
      <c r="J700" s="101" t="str">
        <f>VLOOKUP(I700,Presupuesto!$B$11:$C$565,2,0)</f>
        <v>DECIMOCUARTO MES</v>
      </c>
      <c r="K700" s="98" t="str">
        <f t="shared" si="25"/>
        <v>Posgrado</v>
      </c>
      <c r="L700" s="98" t="s">
        <v>393</v>
      </c>
    </row>
    <row r="701" spans="3:12" ht="15.75" thickBot="1" x14ac:dyDescent="0.3">
      <c r="C701" s="137" t="s">
        <v>488</v>
      </c>
      <c r="D701" s="199"/>
      <c r="E701" s="152">
        <v>12</v>
      </c>
      <c r="F701" s="303">
        <f>HLOOKUP($C701,$BZ$2:$CM$3,2,0)</f>
        <v>13896.4</v>
      </c>
      <c r="G701" s="113">
        <f>D701*E701*F701</f>
        <v>0</v>
      </c>
      <c r="H701" s="166"/>
      <c r="I701" s="114" t="s">
        <v>494</v>
      </c>
      <c r="J701" s="114" t="str">
        <f>VLOOKUP(I701,Presupuesto!$B$11:$C$565,2,0)</f>
        <v>SUELDOS Y SALARIOS PERMANENTES</v>
      </c>
      <c r="K701" s="98" t="str">
        <f t="shared" si="25"/>
        <v>Posgrado</v>
      </c>
      <c r="L701" s="98" t="s">
        <v>393</v>
      </c>
    </row>
    <row r="702" spans="3:12" x14ac:dyDescent="0.25">
      <c r="C702" s="171" t="s">
        <v>58</v>
      </c>
      <c r="D702" s="163"/>
      <c r="E702" s="154">
        <v>0</v>
      </c>
      <c r="F702" s="100">
        <f>IF(E701=0,"",(G701/E701)/12*E701)</f>
        <v>0</v>
      </c>
      <c r="G702" s="97">
        <f>F702</f>
        <v>0</v>
      </c>
      <c r="H702" s="164"/>
      <c r="I702" s="116" t="s">
        <v>514</v>
      </c>
      <c r="J702" s="116" t="str">
        <f>VLOOKUP(I702,Presupuesto!$B$11:$C$565,2,0)</f>
        <v>AGUINALDO Y DECIMO CUARTO MES</v>
      </c>
      <c r="K702" s="98" t="str">
        <f t="shared" si="25"/>
        <v>Posgrado</v>
      </c>
      <c r="L702" s="98" t="s">
        <v>393</v>
      </c>
    </row>
    <row r="703" spans="3:12" ht="15.75" thickBot="1" x14ac:dyDescent="0.3">
      <c r="C703" s="172" t="s">
        <v>59</v>
      </c>
      <c r="D703" s="163"/>
      <c r="E703" s="154">
        <v>0</v>
      </c>
      <c r="F703" s="117">
        <f>IF(E701&lt;6,"",((E701-6)/12)*(G701/E701))</f>
        <v>0</v>
      </c>
      <c r="G703" s="97">
        <f>F703</f>
        <v>0</v>
      </c>
      <c r="H703" s="164"/>
      <c r="I703" s="101" t="s">
        <v>517</v>
      </c>
      <c r="J703" s="101" t="str">
        <f>VLOOKUP(I703,Presupuesto!$B$11:$C$565,2,0)</f>
        <v>DECIMOCUARTO MES</v>
      </c>
      <c r="K703" s="98" t="str">
        <f t="shared" si="25"/>
        <v>Posgrado</v>
      </c>
      <c r="L703" s="98" t="s">
        <v>393</v>
      </c>
    </row>
    <row r="704" spans="3:12" ht="15.75" thickBot="1" x14ac:dyDescent="0.3">
      <c r="C704" s="137" t="s">
        <v>489</v>
      </c>
      <c r="D704" s="199"/>
      <c r="E704" s="152">
        <v>12</v>
      </c>
      <c r="F704" s="303">
        <f>HLOOKUP($C704,$BZ$2:$CM$3,2,0)</f>
        <v>15004.09</v>
      </c>
      <c r="G704" s="113">
        <f>D704*E704*F704</f>
        <v>0</v>
      </c>
      <c r="H704" s="166"/>
      <c r="I704" s="114" t="s">
        <v>494</v>
      </c>
      <c r="J704" s="114" t="str">
        <f>VLOOKUP(I704,Presupuesto!$B$11:$C$565,2,0)</f>
        <v>SUELDOS Y SALARIOS PERMANENTES</v>
      </c>
      <c r="K704" s="98" t="str">
        <f t="shared" si="25"/>
        <v>Posgrado</v>
      </c>
      <c r="L704" s="98" t="s">
        <v>393</v>
      </c>
    </row>
    <row r="705" spans="3:12" x14ac:dyDescent="0.25">
      <c r="C705" s="171" t="s">
        <v>58</v>
      </c>
      <c r="D705" s="163"/>
      <c r="E705" s="154">
        <v>0</v>
      </c>
      <c r="F705" s="100">
        <f>IF(E704=0,"",(G704/E704)/12*E704)</f>
        <v>0</v>
      </c>
      <c r="G705" s="97">
        <f>F705</f>
        <v>0</v>
      </c>
      <c r="H705" s="164"/>
      <c r="I705" s="116" t="s">
        <v>514</v>
      </c>
      <c r="J705" s="116" t="str">
        <f>VLOOKUP(I705,Presupuesto!$B$11:$C$565,2,0)</f>
        <v>AGUINALDO Y DECIMO CUARTO MES</v>
      </c>
      <c r="K705" s="98" t="str">
        <f t="shared" si="25"/>
        <v>Posgrado</v>
      </c>
      <c r="L705" s="98" t="s">
        <v>393</v>
      </c>
    </row>
    <row r="706" spans="3:12" ht="15.75" thickBot="1" x14ac:dyDescent="0.3">
      <c r="C706" s="172" t="s">
        <v>59</v>
      </c>
      <c r="D706" s="163"/>
      <c r="E706" s="154">
        <v>0</v>
      </c>
      <c r="F706" s="117">
        <f>IF(E704&lt;6,"",((E704-6)/12)*(G704/E704))</f>
        <v>0</v>
      </c>
      <c r="G706" s="97">
        <f>F706</f>
        <v>0</v>
      </c>
      <c r="H706" s="164"/>
      <c r="I706" s="101" t="s">
        <v>517</v>
      </c>
      <c r="J706" s="101" t="str">
        <f>VLOOKUP(I706,Presupuesto!$B$11:$C$565,2,0)</f>
        <v>DECIMOCUARTO MES</v>
      </c>
      <c r="K706" s="98" t="str">
        <f t="shared" si="25"/>
        <v>Posgrado</v>
      </c>
      <c r="L706" s="98" t="s">
        <v>393</v>
      </c>
    </row>
    <row r="707" spans="3:12" ht="15.75" thickBot="1" x14ac:dyDescent="0.3">
      <c r="C707" s="137" t="s">
        <v>490</v>
      </c>
      <c r="D707" s="199"/>
      <c r="E707" s="152">
        <v>12</v>
      </c>
      <c r="F707" s="303">
        <f>HLOOKUP($C707,$BZ$2:$CM$3,2,0)</f>
        <v>13238.9</v>
      </c>
      <c r="G707" s="113">
        <f>D707*E707*F707</f>
        <v>0</v>
      </c>
      <c r="H707" s="166"/>
      <c r="I707" s="114" t="s">
        <v>494</v>
      </c>
      <c r="J707" s="114" t="str">
        <f>VLOOKUP(I707,Presupuesto!$B$11:$C$565,2,0)</f>
        <v>SUELDOS Y SALARIOS PERMANENTES</v>
      </c>
      <c r="K707" s="98" t="str">
        <f t="shared" si="25"/>
        <v>Posgrado</v>
      </c>
      <c r="L707" s="98" t="s">
        <v>393</v>
      </c>
    </row>
    <row r="708" spans="3:12" x14ac:dyDescent="0.25">
      <c r="C708" s="171" t="s">
        <v>58</v>
      </c>
      <c r="D708" s="163"/>
      <c r="E708" s="154">
        <v>0</v>
      </c>
      <c r="F708" s="100">
        <f>IF(E707=0,"",(G707/E707)/12*E707)</f>
        <v>0</v>
      </c>
      <c r="G708" s="97">
        <f>F708</f>
        <v>0</v>
      </c>
      <c r="H708" s="164"/>
      <c r="I708" s="116" t="s">
        <v>514</v>
      </c>
      <c r="J708" s="116" t="str">
        <f>VLOOKUP(I708,Presupuesto!$B$11:$C$565,2,0)</f>
        <v>AGUINALDO Y DECIMO CUARTO MES</v>
      </c>
      <c r="K708" s="98" t="str">
        <f t="shared" si="25"/>
        <v>Posgrado</v>
      </c>
      <c r="L708" s="98" t="s">
        <v>393</v>
      </c>
    </row>
    <row r="709" spans="3:12" ht="15.75" thickBot="1" x14ac:dyDescent="0.3">
      <c r="C709" s="172" t="s">
        <v>59</v>
      </c>
      <c r="D709" s="163"/>
      <c r="E709" s="154">
        <v>0</v>
      </c>
      <c r="F709" s="117">
        <f>IF(E707&lt;6,"",((E707-6)/12)*(G707/E707))</f>
        <v>0</v>
      </c>
      <c r="G709" s="97">
        <f>F709</f>
        <v>0</v>
      </c>
      <c r="H709" s="164"/>
      <c r="I709" s="101" t="s">
        <v>517</v>
      </c>
      <c r="J709" s="101" t="str">
        <f>VLOOKUP(I709,Presupuesto!$B$11:$C$565,2,0)</f>
        <v>DECIMOCUARTO MES</v>
      </c>
      <c r="K709" s="98" t="str">
        <f t="shared" si="25"/>
        <v>Posgrado</v>
      </c>
      <c r="L709" s="98" t="s">
        <v>393</v>
      </c>
    </row>
    <row r="710" spans="3:12" ht="15.75" thickBot="1" x14ac:dyDescent="0.3">
      <c r="C710" s="137" t="s">
        <v>491</v>
      </c>
      <c r="D710" s="199"/>
      <c r="E710" s="152">
        <v>12</v>
      </c>
      <c r="F710" s="303">
        <f>HLOOKUP($C710,$BZ$2:$CM$3,2,0)</f>
        <v>12356.31</v>
      </c>
      <c r="G710" s="113">
        <f>D710*E710*F710</f>
        <v>0</v>
      </c>
      <c r="H710" s="166"/>
      <c r="I710" s="114" t="s">
        <v>494</v>
      </c>
      <c r="J710" s="114" t="str">
        <f>VLOOKUP(I710,Presupuesto!$B$11:$C$565,2,0)</f>
        <v>SUELDOS Y SALARIOS PERMANENTES</v>
      </c>
      <c r="K710" s="98" t="str">
        <f t="shared" ref="K710:K727" si="26">$K$677</f>
        <v>Posgrado</v>
      </c>
      <c r="L710" s="98" t="s">
        <v>393</v>
      </c>
    </row>
    <row r="711" spans="3:12" x14ac:dyDescent="0.25">
      <c r="C711" s="171" t="s">
        <v>58</v>
      </c>
      <c r="D711" s="163"/>
      <c r="E711" s="154">
        <v>0</v>
      </c>
      <c r="F711" s="100">
        <f>IF(E710=0,"",(G710/E710)/12*E710)</f>
        <v>0</v>
      </c>
      <c r="G711" s="97">
        <f>F711</f>
        <v>0</v>
      </c>
      <c r="H711" s="164"/>
      <c r="I711" s="116" t="s">
        <v>514</v>
      </c>
      <c r="J711" s="116" t="str">
        <f>VLOOKUP(I711,Presupuesto!$B$11:$C$565,2,0)</f>
        <v>AGUINALDO Y DECIMO CUARTO MES</v>
      </c>
      <c r="K711" s="98" t="str">
        <f t="shared" si="26"/>
        <v>Posgrado</v>
      </c>
      <c r="L711" s="98" t="s">
        <v>393</v>
      </c>
    </row>
    <row r="712" spans="3:12" ht="15.75" thickBot="1" x14ac:dyDescent="0.3">
      <c r="C712" s="172" t="s">
        <v>59</v>
      </c>
      <c r="D712" s="163"/>
      <c r="E712" s="154">
        <v>0</v>
      </c>
      <c r="F712" s="117">
        <f>IF(E710&lt;6,"",((E710-6)/12)*(G710/E710))</f>
        <v>0</v>
      </c>
      <c r="G712" s="97">
        <f>F712</f>
        <v>0</v>
      </c>
      <c r="H712" s="164"/>
      <c r="I712" s="101" t="s">
        <v>517</v>
      </c>
      <c r="J712" s="101" t="str">
        <f>VLOOKUP(I712,Presupuesto!$B$11:$C$565,2,0)</f>
        <v>DECIMOCUARTO MES</v>
      </c>
      <c r="K712" s="98" t="str">
        <f t="shared" si="26"/>
        <v>Posgrado</v>
      </c>
      <c r="L712" s="98" t="s">
        <v>393</v>
      </c>
    </row>
    <row r="713" spans="3:12" ht="15.75" thickBot="1" x14ac:dyDescent="0.3">
      <c r="C713" s="137" t="s">
        <v>492</v>
      </c>
      <c r="D713" s="199"/>
      <c r="E713" s="152">
        <v>12</v>
      </c>
      <c r="F713" s="303">
        <f>HLOOKUP($C713,$BZ$2:$CM$3,2,0)</f>
        <v>463.22</v>
      </c>
      <c r="G713" s="113">
        <f>D713*E713*F713</f>
        <v>0</v>
      </c>
      <c r="H713" s="166"/>
      <c r="I713" s="114" t="s">
        <v>494</v>
      </c>
      <c r="J713" s="114" t="str">
        <f>VLOOKUP(I713,Presupuesto!$B$11:$C$565,2,0)</f>
        <v>SUELDOS Y SALARIOS PERMANENTES</v>
      </c>
      <c r="K713" s="98" t="str">
        <f t="shared" si="26"/>
        <v>Posgrado</v>
      </c>
      <c r="L713" s="98" t="s">
        <v>393</v>
      </c>
    </row>
    <row r="714" spans="3:12" x14ac:dyDescent="0.25">
      <c r="C714" s="171" t="s">
        <v>58</v>
      </c>
      <c r="D714" s="163"/>
      <c r="E714" s="154">
        <v>0</v>
      </c>
      <c r="F714" s="100">
        <f>IF(E713=0,"",(G713/E713)/12*E713)</f>
        <v>0</v>
      </c>
      <c r="G714" s="97">
        <f>F714</f>
        <v>0</v>
      </c>
      <c r="H714" s="164"/>
      <c r="I714" s="116" t="s">
        <v>514</v>
      </c>
      <c r="J714" s="116" t="str">
        <f>VLOOKUP(I714,Presupuesto!$B$11:$C$565,2,0)</f>
        <v>AGUINALDO Y DECIMO CUARTO MES</v>
      </c>
      <c r="K714" s="98" t="str">
        <f t="shared" si="26"/>
        <v>Posgrado</v>
      </c>
      <c r="L714" s="98" t="s">
        <v>393</v>
      </c>
    </row>
    <row r="715" spans="3:12" ht="15.75" thickBot="1" x14ac:dyDescent="0.3">
      <c r="C715" s="172" t="s">
        <v>59</v>
      </c>
      <c r="D715" s="163"/>
      <c r="E715" s="154">
        <v>0</v>
      </c>
      <c r="F715" s="117">
        <f>IF(E713&lt;6,"",((E713-6)/12)*(G713/E713))</f>
        <v>0</v>
      </c>
      <c r="G715" s="97">
        <f>F715</f>
        <v>0</v>
      </c>
      <c r="H715" s="164"/>
      <c r="I715" s="101" t="s">
        <v>517</v>
      </c>
      <c r="J715" s="101" t="str">
        <f>VLOOKUP(I715,Presupuesto!$B$11:$C$565,2,0)</f>
        <v>DECIMOCUARTO MES</v>
      </c>
      <c r="K715" s="98" t="str">
        <f t="shared" si="26"/>
        <v>Posgrado</v>
      </c>
      <c r="L715" s="98" t="s">
        <v>393</v>
      </c>
    </row>
    <row r="716" spans="3:12" ht="15.75" thickBot="1" x14ac:dyDescent="0.3">
      <c r="C716" s="137" t="s">
        <v>493</v>
      </c>
      <c r="D716" s="199"/>
      <c r="E716" s="152">
        <v>12</v>
      </c>
      <c r="F716" s="303">
        <f>HLOOKUP($C716,$BZ$2:$CM$3,2,0)</f>
        <v>2007.3</v>
      </c>
      <c r="G716" s="113">
        <f>D716*E716*F716</f>
        <v>0</v>
      </c>
      <c r="H716" s="166"/>
      <c r="I716" s="114" t="s">
        <v>494</v>
      </c>
      <c r="J716" s="114" t="str">
        <f>VLOOKUP(I716,Presupuesto!$B$11:$C$565,2,0)</f>
        <v>SUELDOS Y SALARIOS PERMANENTES</v>
      </c>
      <c r="K716" s="98" t="str">
        <f t="shared" si="26"/>
        <v>Posgrado</v>
      </c>
      <c r="L716" s="98" t="s">
        <v>393</v>
      </c>
    </row>
    <row r="717" spans="3:12" x14ac:dyDescent="0.25">
      <c r="C717" s="171" t="s">
        <v>58</v>
      </c>
      <c r="D717" s="163"/>
      <c r="E717" s="154">
        <v>0</v>
      </c>
      <c r="F717" s="100">
        <f>IF(E716=0,"",(G716/E716)/12*E716)</f>
        <v>0</v>
      </c>
      <c r="G717" s="97">
        <f>F717</f>
        <v>0</v>
      </c>
      <c r="H717" s="164"/>
      <c r="I717" s="116" t="s">
        <v>514</v>
      </c>
      <c r="J717" s="116" t="str">
        <f>VLOOKUP(I717,Presupuesto!$B$11:$C$565,2,0)</f>
        <v>AGUINALDO Y DECIMO CUARTO MES</v>
      </c>
      <c r="K717" s="98" t="str">
        <f t="shared" si="26"/>
        <v>Posgrado</v>
      </c>
      <c r="L717" s="98" t="s">
        <v>393</v>
      </c>
    </row>
    <row r="718" spans="3:12" ht="15.75" thickBot="1" x14ac:dyDescent="0.3">
      <c r="C718" s="172" t="s">
        <v>59</v>
      </c>
      <c r="D718" s="163"/>
      <c r="E718" s="154">
        <v>0</v>
      </c>
      <c r="F718" s="117">
        <f>IF(E716&lt;6,"",((E716-6)/12)*(G716/E716))</f>
        <v>0</v>
      </c>
      <c r="G718" s="97">
        <f>F718</f>
        <v>0</v>
      </c>
      <c r="H718" s="164"/>
      <c r="I718" s="101" t="s">
        <v>517</v>
      </c>
      <c r="J718" s="101" t="str">
        <f>VLOOKUP(I718,Presupuesto!$B$11:$C$565,2,0)</f>
        <v>DECIMOCUARTO MES</v>
      </c>
      <c r="K718" s="98" t="str">
        <f t="shared" si="26"/>
        <v>Posgrado</v>
      </c>
      <c r="L718" s="98" t="s">
        <v>393</v>
      </c>
    </row>
    <row r="719" spans="3:12" ht="15.75" thickBot="1" x14ac:dyDescent="0.3">
      <c r="C719" s="140" t="s">
        <v>83</v>
      </c>
      <c r="D719" s="199"/>
      <c r="E719" s="152">
        <v>12</v>
      </c>
      <c r="F719" s="139">
        <v>30000</v>
      </c>
      <c r="G719" s="113">
        <f>D719*E719*F719</f>
        <v>0</v>
      </c>
      <c r="H719" s="166"/>
      <c r="I719" s="114" t="s">
        <v>562</v>
      </c>
      <c r="J719" s="114" t="str">
        <f>VLOOKUP(I719,Presupuesto!$B$11:$C$565,2,0)</f>
        <v>CONTRATOS ESPECIALES</v>
      </c>
      <c r="K719" s="98" t="str">
        <f t="shared" si="26"/>
        <v>Posgrado</v>
      </c>
      <c r="L719" s="98" t="s">
        <v>393</v>
      </c>
    </row>
    <row r="720" spans="3:12" x14ac:dyDescent="0.25">
      <c r="C720" s="171" t="s">
        <v>58</v>
      </c>
      <c r="D720" s="163"/>
      <c r="E720" s="154">
        <v>0</v>
      </c>
      <c r="F720" s="117">
        <f>IF(E719=0,"",(G719/E719)/12*E719)</f>
        <v>0</v>
      </c>
      <c r="G720" s="97">
        <f>F720</f>
        <v>0</v>
      </c>
      <c r="H720" s="164"/>
      <c r="I720" s="101" t="s">
        <v>562</v>
      </c>
      <c r="J720" s="101" t="str">
        <f>VLOOKUP(I720,Presupuesto!$B$11:$C$565,2,0)</f>
        <v>CONTRATOS ESPECIALES</v>
      </c>
      <c r="K720" s="98" t="str">
        <f t="shared" si="26"/>
        <v>Posgrado</v>
      </c>
      <c r="L720" s="98" t="s">
        <v>392</v>
      </c>
    </row>
    <row r="721" spans="3:12" ht="15.75" thickBot="1" x14ac:dyDescent="0.3">
      <c r="C721" s="172" t="s">
        <v>59</v>
      </c>
      <c r="D721" s="163"/>
      <c r="E721" s="154">
        <v>0</v>
      </c>
      <c r="F721" s="100">
        <f>IF(E719&lt;6,"",((E719-6)/12)*(G719/E719))</f>
        <v>0</v>
      </c>
      <c r="G721" s="97">
        <f>F721</f>
        <v>0</v>
      </c>
      <c r="H721" s="164"/>
      <c r="I721" s="101" t="s">
        <v>562</v>
      </c>
      <c r="J721" s="101" t="str">
        <f>VLOOKUP(I721,Presupuesto!$B$11:$C$565,2,0)</f>
        <v>CONTRATOS ESPECIALES</v>
      </c>
      <c r="K721" s="98" t="str">
        <f t="shared" si="26"/>
        <v>Posgrado</v>
      </c>
      <c r="L721" s="98" t="s">
        <v>397</v>
      </c>
    </row>
    <row r="722" spans="3:12" ht="15.75" thickBot="1" x14ac:dyDescent="0.3">
      <c r="C722" s="140" t="s">
        <v>60</v>
      </c>
      <c r="D722" s="199"/>
      <c r="E722" s="152">
        <v>12</v>
      </c>
      <c r="F722" s="118">
        <v>30000</v>
      </c>
      <c r="G722" s="113">
        <f>D722*E722*F722</f>
        <v>0</v>
      </c>
      <c r="H722" s="166"/>
      <c r="I722" s="114" t="s">
        <v>703</v>
      </c>
      <c r="J722" s="114" t="str">
        <f>VLOOKUP(I722,Presupuesto!$B$11:$C$565,2,0)</f>
        <v>OTROS SERVICIOS TECNICOS Y PROFESIONALES</v>
      </c>
      <c r="K722" s="98" t="str">
        <f t="shared" si="26"/>
        <v>Posgrado</v>
      </c>
      <c r="L722" s="98" t="s">
        <v>392</v>
      </c>
    </row>
    <row r="723" spans="3:12" x14ac:dyDescent="0.25">
      <c r="C723" s="171" t="s">
        <v>58</v>
      </c>
      <c r="D723" s="163"/>
      <c r="E723" s="154">
        <v>0</v>
      </c>
      <c r="F723" s="100">
        <v>0</v>
      </c>
      <c r="G723" s="97">
        <f>F723</f>
        <v>0</v>
      </c>
      <c r="H723" s="164"/>
      <c r="I723" s="101" t="s">
        <v>703</v>
      </c>
      <c r="J723" s="101" t="str">
        <f>VLOOKUP(I723,Presupuesto!$B$11:$C$565,2,0)</f>
        <v>OTROS SERVICIOS TECNICOS Y PROFESIONALES</v>
      </c>
      <c r="K723" s="98" t="str">
        <f t="shared" si="26"/>
        <v>Posgrado</v>
      </c>
      <c r="L723" s="98" t="s">
        <v>392</v>
      </c>
    </row>
    <row r="724" spans="3:12" ht="15.75" thickBot="1" x14ac:dyDescent="0.3">
      <c r="C724" s="172" t="s">
        <v>59</v>
      </c>
      <c r="D724" s="163"/>
      <c r="E724" s="154">
        <v>0</v>
      </c>
      <c r="F724" s="100">
        <v>0</v>
      </c>
      <c r="G724" s="97">
        <f>F724</f>
        <v>0</v>
      </c>
      <c r="H724" s="164"/>
      <c r="I724" s="101" t="s">
        <v>703</v>
      </c>
      <c r="J724" s="101" t="str">
        <f>VLOOKUP(I724,Presupuesto!$B$11:$C$565,2,0)</f>
        <v>OTROS SERVICIOS TECNICOS Y PROFESIONALES</v>
      </c>
      <c r="K724" s="98" t="str">
        <f t="shared" si="26"/>
        <v>Posgrado</v>
      </c>
      <c r="L724" s="98" t="s">
        <v>392</v>
      </c>
    </row>
    <row r="725" spans="3:12" ht="15.75" thickBot="1" x14ac:dyDescent="0.3">
      <c r="C725" s="140" t="s">
        <v>61</v>
      </c>
      <c r="D725" s="199"/>
      <c r="E725" s="152">
        <v>12</v>
      </c>
      <c r="F725" s="118">
        <v>30000</v>
      </c>
      <c r="G725" s="113">
        <f>D725*E725*F725</f>
        <v>0</v>
      </c>
      <c r="H725" s="166"/>
      <c r="I725" s="114" t="s">
        <v>494</v>
      </c>
      <c r="J725" s="114" t="str">
        <f>VLOOKUP(I725,Presupuesto!$B$11:$C$565,2,0)</f>
        <v>SUELDOS Y SALARIOS PERMANENTES</v>
      </c>
      <c r="K725" s="98" t="str">
        <f t="shared" si="26"/>
        <v>Posgrado</v>
      </c>
      <c r="L725" s="98" t="s">
        <v>392</v>
      </c>
    </row>
    <row r="726" spans="3:12" x14ac:dyDescent="0.25">
      <c r="C726" s="171" t="s">
        <v>58</v>
      </c>
      <c r="D726" s="169"/>
      <c r="E726" s="131">
        <v>0</v>
      </c>
      <c r="F726" s="119">
        <f>IF(E725=0,"",(G725/E725)/12*E725)</f>
        <v>0</v>
      </c>
      <c r="G726" s="120">
        <f>F726</f>
        <v>0</v>
      </c>
      <c r="H726" s="164"/>
      <c r="I726" s="101" t="s">
        <v>514</v>
      </c>
      <c r="J726" s="101" t="str">
        <f>VLOOKUP(I726,Presupuesto!$B$11:$C$565,2,0)</f>
        <v>AGUINALDO Y DECIMO CUARTO MES</v>
      </c>
      <c r="K726" s="98" t="str">
        <f t="shared" si="26"/>
        <v>Posgrado</v>
      </c>
      <c r="L726" s="98" t="s">
        <v>392</v>
      </c>
    </row>
    <row r="727" spans="3:12" ht="15.75" thickBot="1" x14ac:dyDescent="0.3">
      <c r="C727" s="173" t="s">
        <v>59</v>
      </c>
      <c r="D727" s="162"/>
      <c r="E727" s="132">
        <v>0</v>
      </c>
      <c r="F727" s="105">
        <f>IF(E725&lt;6,"",((E725-6)/12)*(G725/E725))</f>
        <v>0</v>
      </c>
      <c r="G727" s="105">
        <f>F727</f>
        <v>0</v>
      </c>
      <c r="H727" s="162"/>
      <c r="I727" s="106" t="s">
        <v>517</v>
      </c>
      <c r="J727" s="124" t="str">
        <f>VLOOKUP(I727,Presupuesto!$B$11:$C$565,2,0)</f>
        <v>DECIMOCUARTO MES</v>
      </c>
      <c r="K727" s="106" t="str">
        <f t="shared" si="26"/>
        <v>Posgrado</v>
      </c>
      <c r="L727" s="124" t="s">
        <v>392</v>
      </c>
    </row>
    <row r="729" spans="3:12" ht="15.75" thickBot="1" x14ac:dyDescent="0.3"/>
    <row r="730" spans="3:12" ht="15.75" thickBot="1" x14ac:dyDescent="0.3">
      <c r="C730" s="69" t="s">
        <v>43</v>
      </c>
      <c r="D730" s="30">
        <f>SUM(G737:G787)</f>
        <v>0</v>
      </c>
      <c r="E730" s="93"/>
      <c r="F730" s="93"/>
      <c r="G730" s="93"/>
      <c r="H730" s="76"/>
      <c r="I730" s="76"/>
      <c r="J730" s="76"/>
    </row>
    <row r="731" spans="3:12" x14ac:dyDescent="0.25">
      <c r="D731" s="31"/>
      <c r="E731" s="93"/>
      <c r="F731" s="93"/>
      <c r="G731" s="93"/>
      <c r="H731" s="76"/>
      <c r="I731" s="76"/>
      <c r="J731" s="76"/>
    </row>
    <row r="732" spans="3:12" x14ac:dyDescent="0.25">
      <c r="D732" s="31"/>
      <c r="E732" s="93"/>
      <c r="F732" s="93"/>
      <c r="G732" s="93"/>
      <c r="H732" s="76"/>
      <c r="I732" s="76"/>
      <c r="J732" s="76"/>
      <c r="K732" s="153"/>
    </row>
    <row r="733" spans="3:12" ht="15.75" x14ac:dyDescent="0.25">
      <c r="C733" s="202" t="s">
        <v>390</v>
      </c>
      <c r="D733" s="368"/>
      <c r="E733" s="93"/>
      <c r="F733" s="93"/>
      <c r="G733" s="93"/>
      <c r="H733" s="76"/>
      <c r="I733" s="76"/>
      <c r="J733" s="76"/>
      <c r="K733" s="153"/>
    </row>
    <row r="734" spans="3:12" ht="18.75" x14ac:dyDescent="0.25">
      <c r="C734" s="210" t="e">
        <f>IFERROR(VLOOKUP(D733,'1. Desarrollo e Innov. Curricu.'!$F:$G,2,FALSE),IFERROR(VLOOKUP(D733,'2. Investigación Científica'!$F:$G,2,FALSE),IFERROR(VLOOKUP(D733,'3. Vinculación Univ. Sociedad'!$F:$G,2,FALSE),IFERROR(VLOOKUP(D733,'4. Docencia y Profesorado Univ.'!$F:$G,2,FALSE),IFERROR(VLOOKUP(D733,'5. Estudiantes y Graduados'!$F:$G,2,FALSE),IFERROR(VLOOKUP(D733,'11. Gestion Administrativa'!$F:$G,2,FALSE),IFERROR(VLOOKUP(D733,'13. Gestión Académica'!$F:$G,2,FALSE),IFERROR(VLOOKUP(D733,'9. Asegura. de la Calid. y M'!$F:$G,2,FALSE),IFERROR(VLOOKUP(D733,'6. Gestión del Conocimiento'!$F:$G,2,FALSE),IFERROR(VLOOKUP(D733,'15. Gobernabilidad y Proceso...'!$G:$H,2,FALSE),IFERROR(VLOOKUP(D733,'12. Gestión del Talento Humano'!$F:$G,2,FALSE),IFERROR(VLOOKUP(D733,'14. Internacional... de la E.S.'!$F:$G,2,FALSE),IFERROR(VLOOKUP(D733,'10. Posgrado'!$F:$G,2,FALSE),IFERROR(VLOOKUP(D733,'17. Gestión TIC'!$F:$G,2,FALSE),IFERROR(VLOOKUP(D733,'16. Desa. del Sistema Educ.Sup.'!$F:$G,2,FALSE),IFERROR(VLOOKUP(D733,'8. Cultura de Inno. Insti...'!$F:$G,2,FALSE),VLOOKUP(D733,'7. Lo Esencial de la Reforma U.'!$G:$H,2,0)))))))))))))))))</f>
        <v>#N/A</v>
      </c>
      <c r="D734" s="31"/>
      <c r="E734" s="93"/>
      <c r="F734" s="93"/>
      <c r="G734" s="93"/>
      <c r="H734" s="76"/>
      <c r="I734" s="76"/>
      <c r="J734" s="76"/>
      <c r="K734" s="153"/>
    </row>
    <row r="735" spans="3:12" ht="15.75" thickBot="1" x14ac:dyDescent="0.3">
      <c r="C735" s="177"/>
      <c r="D735" s="31"/>
      <c r="E735" s="93"/>
      <c r="F735" s="93"/>
      <c r="G735" s="93"/>
      <c r="H735" s="76"/>
      <c r="I735" s="76"/>
      <c r="J735" s="76"/>
      <c r="K735" s="153"/>
    </row>
    <row r="736" spans="3:12" ht="30.75" thickBot="1" x14ac:dyDescent="0.3">
      <c r="C736" s="134" t="s">
        <v>44</v>
      </c>
      <c r="D736" s="138" t="s">
        <v>55</v>
      </c>
      <c r="E736" s="170" t="s">
        <v>56</v>
      </c>
      <c r="F736" s="138" t="s">
        <v>57</v>
      </c>
      <c r="G736" s="135" t="s">
        <v>27</v>
      </c>
      <c r="H736" s="133" t="s">
        <v>129</v>
      </c>
      <c r="I736" s="136" t="s">
        <v>46</v>
      </c>
      <c r="J736" s="136" t="s">
        <v>130</v>
      </c>
      <c r="K736" s="136" t="s">
        <v>408</v>
      </c>
      <c r="L736" s="136" t="s">
        <v>409</v>
      </c>
    </row>
    <row r="737" spans="3:12" ht="15.75" thickBot="1" x14ac:dyDescent="0.3">
      <c r="C737" s="137" t="s">
        <v>480</v>
      </c>
      <c r="D737" s="199"/>
      <c r="E737" s="152">
        <v>12</v>
      </c>
      <c r="F737" s="303">
        <f>HLOOKUP($C737,$BZ$2:$CM$3,2,0)</f>
        <v>43674.39</v>
      </c>
      <c r="G737" s="113">
        <f>D737*E737*F737</f>
        <v>0</v>
      </c>
      <c r="H737" s="166"/>
      <c r="I737" s="114" t="s">
        <v>494</v>
      </c>
      <c r="J737" s="114" t="str">
        <f>VLOOKUP(I737,Presupuesto!$B$11:$C$565,2,0)</f>
        <v>SUELDOS Y SALARIOS PERMANENTES</v>
      </c>
      <c r="K737" s="218" t="s">
        <v>1443</v>
      </c>
      <c r="L737" s="98" t="s">
        <v>392</v>
      </c>
    </row>
    <row r="738" spans="3:12" x14ac:dyDescent="0.25">
      <c r="C738" s="171" t="s">
        <v>58</v>
      </c>
      <c r="D738" s="163"/>
      <c r="E738" s="154">
        <v>0</v>
      </c>
      <c r="F738" s="100">
        <f>IF(E737=0,"",(G737/E737)/12*E737)</f>
        <v>0</v>
      </c>
      <c r="G738" s="97">
        <f>F738</f>
        <v>0</v>
      </c>
      <c r="H738" s="164"/>
      <c r="I738" s="116" t="s">
        <v>514</v>
      </c>
      <c r="J738" s="116" t="str">
        <f>VLOOKUP(I738,Presupuesto!$B$11:$C$565,2,0)</f>
        <v>AGUINALDO Y DECIMO CUARTO MES</v>
      </c>
      <c r="K738" s="98" t="str">
        <f t="shared" ref="K738:K769" si="27">$K$737</f>
        <v>Posgrado</v>
      </c>
      <c r="L738" s="98" t="s">
        <v>410</v>
      </c>
    </row>
    <row r="739" spans="3:12" ht="15.75" thickBot="1" x14ac:dyDescent="0.3">
      <c r="C739" s="172" t="s">
        <v>59</v>
      </c>
      <c r="D739" s="163"/>
      <c r="E739" s="154">
        <v>0</v>
      </c>
      <c r="F739" s="117">
        <f>IF(E737&lt;6,"",((E737-6)/12)*(G737/E737))</f>
        <v>0</v>
      </c>
      <c r="G739" s="97">
        <f>F739</f>
        <v>0</v>
      </c>
      <c r="H739" s="164"/>
      <c r="I739" s="101" t="s">
        <v>517</v>
      </c>
      <c r="J739" s="101" t="str">
        <f>VLOOKUP(I739,Presupuesto!$B$11:$C$565,2,0)</f>
        <v>DECIMOCUARTO MES</v>
      </c>
      <c r="K739" s="98" t="str">
        <f t="shared" si="27"/>
        <v>Posgrado</v>
      </c>
      <c r="L739" s="98" t="s">
        <v>393</v>
      </c>
    </row>
    <row r="740" spans="3:12" ht="15.75" thickBot="1" x14ac:dyDescent="0.3">
      <c r="C740" s="137" t="s">
        <v>481</v>
      </c>
      <c r="D740" s="199"/>
      <c r="E740" s="152">
        <v>12</v>
      </c>
      <c r="F740" s="303">
        <f>HLOOKUP($C740,$BZ$2:$CM$3,2,0)</f>
        <v>39703.99</v>
      </c>
      <c r="G740" s="113">
        <f>D740*E740*F740</f>
        <v>0</v>
      </c>
      <c r="H740" s="166"/>
      <c r="I740" s="114" t="s">
        <v>494</v>
      </c>
      <c r="J740" s="114" t="str">
        <f>VLOOKUP(I740,Presupuesto!$B$11:$C$565,2,0)</f>
        <v>SUELDOS Y SALARIOS PERMANENTES</v>
      </c>
      <c r="K740" s="98" t="str">
        <f t="shared" si="27"/>
        <v>Posgrado</v>
      </c>
      <c r="L740" s="98" t="s">
        <v>393</v>
      </c>
    </row>
    <row r="741" spans="3:12" x14ac:dyDescent="0.25">
      <c r="C741" s="171" t="s">
        <v>58</v>
      </c>
      <c r="D741" s="163"/>
      <c r="E741" s="154">
        <v>0</v>
      </c>
      <c r="F741" s="100">
        <f>IF(E740=0,"",(G740/E740)/12*E740)</f>
        <v>0</v>
      </c>
      <c r="G741" s="97">
        <f>F741</f>
        <v>0</v>
      </c>
      <c r="H741" s="164"/>
      <c r="I741" s="116" t="s">
        <v>514</v>
      </c>
      <c r="J741" s="116" t="str">
        <f>VLOOKUP(I741,Presupuesto!$B$11:$C$565,2,0)</f>
        <v>AGUINALDO Y DECIMO CUARTO MES</v>
      </c>
      <c r="K741" s="98" t="str">
        <f t="shared" si="27"/>
        <v>Posgrado</v>
      </c>
      <c r="L741" s="98" t="s">
        <v>393</v>
      </c>
    </row>
    <row r="742" spans="3:12" ht="15.75" thickBot="1" x14ac:dyDescent="0.3">
      <c r="C742" s="172" t="s">
        <v>59</v>
      </c>
      <c r="D742" s="163"/>
      <c r="E742" s="154">
        <v>0</v>
      </c>
      <c r="F742" s="117">
        <f>IF(E740&lt;6,"",((E740-6)/12)*(G740/E740))</f>
        <v>0</v>
      </c>
      <c r="G742" s="97">
        <f>F742</f>
        <v>0</v>
      </c>
      <c r="H742" s="164"/>
      <c r="I742" s="101" t="s">
        <v>517</v>
      </c>
      <c r="J742" s="101" t="str">
        <f>VLOOKUP(I742,Presupuesto!$B$11:$C$565,2,0)</f>
        <v>DECIMOCUARTO MES</v>
      </c>
      <c r="K742" s="98" t="str">
        <f t="shared" si="27"/>
        <v>Posgrado</v>
      </c>
      <c r="L742" s="98" t="s">
        <v>393</v>
      </c>
    </row>
    <row r="743" spans="3:12" ht="15.75" thickBot="1" x14ac:dyDescent="0.3">
      <c r="C743" s="137" t="s">
        <v>482</v>
      </c>
      <c r="D743" s="199"/>
      <c r="E743" s="152">
        <v>12</v>
      </c>
      <c r="F743" s="303">
        <f>HLOOKUP($C743,$BZ$2:$CM$3,2,0)</f>
        <v>35733.589999999997</v>
      </c>
      <c r="G743" s="113">
        <f>D743*E743*F743</f>
        <v>0</v>
      </c>
      <c r="H743" s="166"/>
      <c r="I743" s="114" t="s">
        <v>494</v>
      </c>
      <c r="J743" s="114" t="str">
        <f>VLOOKUP(I743,Presupuesto!$B$11:$C$565,2,0)</f>
        <v>SUELDOS Y SALARIOS PERMANENTES</v>
      </c>
      <c r="K743" s="98" t="str">
        <f t="shared" si="27"/>
        <v>Posgrado</v>
      </c>
      <c r="L743" s="98" t="s">
        <v>393</v>
      </c>
    </row>
    <row r="744" spans="3:12" x14ac:dyDescent="0.25">
      <c r="C744" s="171" t="s">
        <v>58</v>
      </c>
      <c r="D744" s="163"/>
      <c r="E744" s="154">
        <v>0</v>
      </c>
      <c r="F744" s="100">
        <f>IF(E743=0,"",(G743/E743)/12*E743)</f>
        <v>0</v>
      </c>
      <c r="G744" s="97">
        <f>F744</f>
        <v>0</v>
      </c>
      <c r="H744" s="164"/>
      <c r="I744" s="116" t="s">
        <v>514</v>
      </c>
      <c r="J744" s="116" t="str">
        <f>VLOOKUP(I744,Presupuesto!$B$11:$C$565,2,0)</f>
        <v>AGUINALDO Y DECIMO CUARTO MES</v>
      </c>
      <c r="K744" s="98" t="str">
        <f t="shared" si="27"/>
        <v>Posgrado</v>
      </c>
      <c r="L744" s="98" t="s">
        <v>393</v>
      </c>
    </row>
    <row r="745" spans="3:12" ht="15.75" thickBot="1" x14ac:dyDescent="0.3">
      <c r="C745" s="172" t="s">
        <v>59</v>
      </c>
      <c r="D745" s="163"/>
      <c r="E745" s="154">
        <v>0</v>
      </c>
      <c r="F745" s="117">
        <f>IF(E743&lt;6,"",((E743-6)/12)*(G743/E743))</f>
        <v>0</v>
      </c>
      <c r="G745" s="97">
        <f>F745</f>
        <v>0</v>
      </c>
      <c r="H745" s="164"/>
      <c r="I745" s="101" t="s">
        <v>517</v>
      </c>
      <c r="J745" s="101" t="str">
        <f>VLOOKUP(I745,Presupuesto!$B$11:$C$565,2,0)</f>
        <v>DECIMOCUARTO MES</v>
      </c>
      <c r="K745" s="98" t="str">
        <f t="shared" si="27"/>
        <v>Posgrado</v>
      </c>
      <c r="L745" s="98" t="s">
        <v>393</v>
      </c>
    </row>
    <row r="746" spans="3:12" ht="15.75" thickBot="1" x14ac:dyDescent="0.3">
      <c r="C746" s="137" t="s">
        <v>483</v>
      </c>
      <c r="D746" s="199"/>
      <c r="E746" s="152">
        <v>12</v>
      </c>
      <c r="F746" s="303">
        <f>HLOOKUP($C746,$BZ$2:$CM$3,2,0)</f>
        <v>31763.19</v>
      </c>
      <c r="G746" s="113">
        <f>D746*E746*F746</f>
        <v>0</v>
      </c>
      <c r="H746" s="166"/>
      <c r="I746" s="114" t="s">
        <v>494</v>
      </c>
      <c r="J746" s="114" t="str">
        <f>VLOOKUP(I746,Presupuesto!$B$11:$C$565,2,0)</f>
        <v>SUELDOS Y SALARIOS PERMANENTES</v>
      </c>
      <c r="K746" s="98" t="str">
        <f t="shared" si="27"/>
        <v>Posgrado</v>
      </c>
      <c r="L746" s="98" t="s">
        <v>393</v>
      </c>
    </row>
    <row r="747" spans="3:12" x14ac:dyDescent="0.25">
      <c r="C747" s="171" t="s">
        <v>58</v>
      </c>
      <c r="D747" s="163"/>
      <c r="E747" s="154">
        <v>0</v>
      </c>
      <c r="F747" s="100">
        <f>IF(E746=0,"",(G746/E746)/12*E746)</f>
        <v>0</v>
      </c>
      <c r="G747" s="97">
        <f>F747</f>
        <v>0</v>
      </c>
      <c r="H747" s="164"/>
      <c r="I747" s="116" t="s">
        <v>514</v>
      </c>
      <c r="J747" s="116" t="str">
        <f>VLOOKUP(I747,Presupuesto!$B$11:$C$565,2,0)</f>
        <v>AGUINALDO Y DECIMO CUARTO MES</v>
      </c>
      <c r="K747" s="98" t="str">
        <f t="shared" si="27"/>
        <v>Posgrado</v>
      </c>
      <c r="L747" s="98" t="s">
        <v>393</v>
      </c>
    </row>
    <row r="748" spans="3:12" ht="15.75" thickBot="1" x14ac:dyDescent="0.3">
      <c r="C748" s="172" t="s">
        <v>59</v>
      </c>
      <c r="D748" s="163"/>
      <c r="E748" s="154">
        <v>0</v>
      </c>
      <c r="F748" s="117">
        <f>IF(E746&lt;6,"",((E746-6)/12)*(G746/E746))</f>
        <v>0</v>
      </c>
      <c r="G748" s="97">
        <f>F748</f>
        <v>0</v>
      </c>
      <c r="H748" s="164"/>
      <c r="I748" s="101" t="s">
        <v>517</v>
      </c>
      <c r="J748" s="101" t="str">
        <f>VLOOKUP(I748,Presupuesto!$B$11:$C$565,2,0)</f>
        <v>DECIMOCUARTO MES</v>
      </c>
      <c r="K748" s="98" t="str">
        <f t="shared" si="27"/>
        <v>Posgrado</v>
      </c>
      <c r="L748" s="98" t="s">
        <v>393</v>
      </c>
    </row>
    <row r="749" spans="3:12" ht="15.75" thickBot="1" x14ac:dyDescent="0.3">
      <c r="C749" s="137" t="s">
        <v>484</v>
      </c>
      <c r="D749" s="199"/>
      <c r="E749" s="152">
        <v>12</v>
      </c>
      <c r="F749" s="303">
        <f>HLOOKUP($C749,$BZ$2:$CM$3,2,0)</f>
        <v>29777.99</v>
      </c>
      <c r="G749" s="113">
        <f>D749*E749*F749</f>
        <v>0</v>
      </c>
      <c r="H749" s="166"/>
      <c r="I749" s="114" t="s">
        <v>494</v>
      </c>
      <c r="J749" s="114" t="str">
        <f>VLOOKUP(I749,Presupuesto!$B$11:$C$565,2,0)</f>
        <v>SUELDOS Y SALARIOS PERMANENTES</v>
      </c>
      <c r="K749" s="98" t="str">
        <f t="shared" si="27"/>
        <v>Posgrado</v>
      </c>
      <c r="L749" s="98" t="s">
        <v>393</v>
      </c>
    </row>
    <row r="750" spans="3:12" x14ac:dyDescent="0.25">
      <c r="C750" s="171" t="s">
        <v>58</v>
      </c>
      <c r="D750" s="163"/>
      <c r="E750" s="154">
        <v>0</v>
      </c>
      <c r="F750" s="100">
        <f>IF(E749=0,"",(G749/E749)/12*E749)</f>
        <v>0</v>
      </c>
      <c r="G750" s="97">
        <f>F750</f>
        <v>0</v>
      </c>
      <c r="H750" s="164"/>
      <c r="I750" s="116" t="s">
        <v>514</v>
      </c>
      <c r="J750" s="116" t="str">
        <f>VLOOKUP(I750,Presupuesto!$B$11:$C$565,2,0)</f>
        <v>AGUINALDO Y DECIMO CUARTO MES</v>
      </c>
      <c r="K750" s="98" t="str">
        <f t="shared" si="27"/>
        <v>Posgrado</v>
      </c>
      <c r="L750" s="98" t="s">
        <v>393</v>
      </c>
    </row>
    <row r="751" spans="3:12" ht="15.75" thickBot="1" x14ac:dyDescent="0.3">
      <c r="C751" s="172" t="s">
        <v>59</v>
      </c>
      <c r="D751" s="163"/>
      <c r="E751" s="154">
        <v>0</v>
      </c>
      <c r="F751" s="117">
        <f>IF(E749&lt;6,"",((E749-6)/12)*(G749/E749))</f>
        <v>0</v>
      </c>
      <c r="G751" s="97">
        <f>F751</f>
        <v>0</v>
      </c>
      <c r="H751" s="164"/>
      <c r="I751" s="101" t="s">
        <v>517</v>
      </c>
      <c r="J751" s="101" t="str">
        <f>VLOOKUP(I751,Presupuesto!$B$11:$C$565,2,0)</f>
        <v>DECIMOCUARTO MES</v>
      </c>
      <c r="K751" s="98" t="str">
        <f t="shared" si="27"/>
        <v>Posgrado</v>
      </c>
      <c r="L751" s="98" t="s">
        <v>393</v>
      </c>
    </row>
    <row r="752" spans="3:12" ht="15.75" thickBot="1" x14ac:dyDescent="0.3">
      <c r="C752" s="137" t="s">
        <v>485</v>
      </c>
      <c r="D752" s="199"/>
      <c r="E752" s="152">
        <v>12</v>
      </c>
      <c r="F752" s="303">
        <f>HLOOKUP($C752,$BZ$2:$CM$3,2,0)</f>
        <v>27792.79</v>
      </c>
      <c r="G752" s="113">
        <f>D752*E752*F752</f>
        <v>0</v>
      </c>
      <c r="H752" s="166"/>
      <c r="I752" s="114" t="s">
        <v>494</v>
      </c>
      <c r="J752" s="114" t="str">
        <f>VLOOKUP(I752,Presupuesto!$B$11:$C$565,2,0)</f>
        <v>SUELDOS Y SALARIOS PERMANENTES</v>
      </c>
      <c r="K752" s="98" t="str">
        <f t="shared" si="27"/>
        <v>Posgrado</v>
      </c>
      <c r="L752" s="98" t="s">
        <v>393</v>
      </c>
    </row>
    <row r="753" spans="3:12" x14ac:dyDescent="0.25">
      <c r="C753" s="171" t="s">
        <v>58</v>
      </c>
      <c r="D753" s="163"/>
      <c r="E753" s="154">
        <v>0</v>
      </c>
      <c r="F753" s="100">
        <f>IF(E752=0,"",(G752/E752)/12*E752)</f>
        <v>0</v>
      </c>
      <c r="G753" s="97">
        <f>F753</f>
        <v>0</v>
      </c>
      <c r="H753" s="164"/>
      <c r="I753" s="116" t="s">
        <v>514</v>
      </c>
      <c r="J753" s="116" t="str">
        <f>VLOOKUP(I753,Presupuesto!$B$11:$C$565,2,0)</f>
        <v>AGUINALDO Y DECIMO CUARTO MES</v>
      </c>
      <c r="K753" s="98" t="str">
        <f t="shared" si="27"/>
        <v>Posgrado</v>
      </c>
      <c r="L753" s="98" t="s">
        <v>393</v>
      </c>
    </row>
    <row r="754" spans="3:12" ht="15.75" thickBot="1" x14ac:dyDescent="0.3">
      <c r="C754" s="172" t="s">
        <v>59</v>
      </c>
      <c r="D754" s="163"/>
      <c r="E754" s="154">
        <v>0</v>
      </c>
      <c r="F754" s="117">
        <f>IF(E752&lt;6,"",((E752-6)/12)*(G752/E752))</f>
        <v>0</v>
      </c>
      <c r="G754" s="97">
        <f>F754</f>
        <v>0</v>
      </c>
      <c r="H754" s="164"/>
      <c r="I754" s="101" t="s">
        <v>517</v>
      </c>
      <c r="J754" s="101" t="str">
        <f>VLOOKUP(I754,Presupuesto!$B$11:$C$565,2,0)</f>
        <v>DECIMOCUARTO MES</v>
      </c>
      <c r="K754" s="98" t="str">
        <f t="shared" si="27"/>
        <v>Posgrado</v>
      </c>
      <c r="L754" s="98" t="s">
        <v>393</v>
      </c>
    </row>
    <row r="755" spans="3:12" ht="15.75" thickBot="1" x14ac:dyDescent="0.3">
      <c r="C755" s="137" t="s">
        <v>486</v>
      </c>
      <c r="D755" s="199"/>
      <c r="E755" s="152">
        <v>12</v>
      </c>
      <c r="F755" s="303">
        <f>HLOOKUP($C755,$BZ$2:$CM$3,2,0)</f>
        <v>18859.39</v>
      </c>
      <c r="G755" s="113">
        <f>D755*E755*F755</f>
        <v>0</v>
      </c>
      <c r="H755" s="166"/>
      <c r="I755" s="114" t="s">
        <v>494</v>
      </c>
      <c r="J755" s="114" t="str">
        <f>VLOOKUP(I755,Presupuesto!$B$11:$C$565,2,0)</f>
        <v>SUELDOS Y SALARIOS PERMANENTES</v>
      </c>
      <c r="K755" s="98" t="str">
        <f t="shared" si="27"/>
        <v>Posgrado</v>
      </c>
      <c r="L755" s="98" t="s">
        <v>393</v>
      </c>
    </row>
    <row r="756" spans="3:12" x14ac:dyDescent="0.25">
      <c r="C756" s="171" t="s">
        <v>58</v>
      </c>
      <c r="D756" s="163"/>
      <c r="E756" s="154">
        <v>0</v>
      </c>
      <c r="F756" s="100">
        <f>IF(E755=0,"",(G755/E755)/12*E755)</f>
        <v>0</v>
      </c>
      <c r="G756" s="97">
        <f>F756</f>
        <v>0</v>
      </c>
      <c r="H756" s="164"/>
      <c r="I756" s="116" t="s">
        <v>514</v>
      </c>
      <c r="J756" s="116" t="str">
        <f>VLOOKUP(I756,Presupuesto!$B$11:$C$565,2,0)</f>
        <v>AGUINALDO Y DECIMO CUARTO MES</v>
      </c>
      <c r="K756" s="98" t="str">
        <f t="shared" si="27"/>
        <v>Posgrado</v>
      </c>
      <c r="L756" s="98" t="s">
        <v>393</v>
      </c>
    </row>
    <row r="757" spans="3:12" ht="15.75" thickBot="1" x14ac:dyDescent="0.3">
      <c r="C757" s="172" t="s">
        <v>59</v>
      </c>
      <c r="D757" s="163"/>
      <c r="E757" s="154">
        <v>0</v>
      </c>
      <c r="F757" s="117">
        <f>IF(E755&lt;6,"",((E755-6)/12)*(G755/E755))</f>
        <v>0</v>
      </c>
      <c r="G757" s="97">
        <f>F757</f>
        <v>0</v>
      </c>
      <c r="H757" s="164"/>
      <c r="I757" s="101" t="s">
        <v>517</v>
      </c>
      <c r="J757" s="101" t="str">
        <f>VLOOKUP(I757,Presupuesto!$B$11:$C$565,2,0)</f>
        <v>DECIMOCUARTO MES</v>
      </c>
      <c r="K757" s="98" t="str">
        <f t="shared" si="27"/>
        <v>Posgrado</v>
      </c>
      <c r="L757" s="98" t="s">
        <v>393</v>
      </c>
    </row>
    <row r="758" spans="3:12" ht="15.75" thickBot="1" x14ac:dyDescent="0.3">
      <c r="C758" s="137" t="s">
        <v>487</v>
      </c>
      <c r="D758" s="199"/>
      <c r="E758" s="152">
        <v>12</v>
      </c>
      <c r="F758" s="303">
        <f>HLOOKUP($C758,$BZ$2:$CM$3,2,0)</f>
        <v>17866.8</v>
      </c>
      <c r="G758" s="113">
        <f>D758*E758*F758</f>
        <v>0</v>
      </c>
      <c r="H758" s="166"/>
      <c r="I758" s="114" t="s">
        <v>494</v>
      </c>
      <c r="J758" s="114" t="str">
        <f>VLOOKUP(I758,Presupuesto!$B$11:$C$565,2,0)</f>
        <v>SUELDOS Y SALARIOS PERMANENTES</v>
      </c>
      <c r="K758" s="98" t="str">
        <f t="shared" si="27"/>
        <v>Posgrado</v>
      </c>
      <c r="L758" s="98" t="s">
        <v>393</v>
      </c>
    </row>
    <row r="759" spans="3:12" x14ac:dyDescent="0.25">
      <c r="C759" s="171" t="s">
        <v>58</v>
      </c>
      <c r="D759" s="163"/>
      <c r="E759" s="154">
        <v>0</v>
      </c>
      <c r="F759" s="100">
        <f>IF(E758=0,"",(G758/E758)/12*E758)</f>
        <v>0</v>
      </c>
      <c r="G759" s="97">
        <f>F759</f>
        <v>0</v>
      </c>
      <c r="H759" s="164"/>
      <c r="I759" s="116" t="s">
        <v>514</v>
      </c>
      <c r="J759" s="116" t="str">
        <f>VLOOKUP(I759,Presupuesto!$B$11:$C$565,2,0)</f>
        <v>AGUINALDO Y DECIMO CUARTO MES</v>
      </c>
      <c r="K759" s="98" t="str">
        <f t="shared" si="27"/>
        <v>Posgrado</v>
      </c>
      <c r="L759" s="98" t="s">
        <v>393</v>
      </c>
    </row>
    <row r="760" spans="3:12" ht="15.75" thickBot="1" x14ac:dyDescent="0.3">
      <c r="C760" s="172" t="s">
        <v>59</v>
      </c>
      <c r="D760" s="163"/>
      <c r="E760" s="154">
        <v>0</v>
      </c>
      <c r="F760" s="117">
        <f>IF(E758&lt;6,"",((E758-6)/12)*(G758/E758))</f>
        <v>0</v>
      </c>
      <c r="G760" s="97">
        <f>F760</f>
        <v>0</v>
      </c>
      <c r="H760" s="164"/>
      <c r="I760" s="101" t="s">
        <v>517</v>
      </c>
      <c r="J760" s="101" t="str">
        <f>VLOOKUP(I760,Presupuesto!$B$11:$C$565,2,0)</f>
        <v>DECIMOCUARTO MES</v>
      </c>
      <c r="K760" s="98" t="str">
        <f t="shared" si="27"/>
        <v>Posgrado</v>
      </c>
      <c r="L760" s="98" t="s">
        <v>393</v>
      </c>
    </row>
    <row r="761" spans="3:12" ht="15.75" thickBot="1" x14ac:dyDescent="0.3">
      <c r="C761" s="137" t="s">
        <v>488</v>
      </c>
      <c r="D761" s="199"/>
      <c r="E761" s="152">
        <v>12</v>
      </c>
      <c r="F761" s="303">
        <f>HLOOKUP($C761,$BZ$2:$CM$3,2,0)</f>
        <v>13896.4</v>
      </c>
      <c r="G761" s="113">
        <f>D761*E761*F761</f>
        <v>0</v>
      </c>
      <c r="H761" s="166"/>
      <c r="I761" s="114" t="s">
        <v>494</v>
      </c>
      <c r="J761" s="114" t="str">
        <f>VLOOKUP(I761,Presupuesto!$B$11:$C$565,2,0)</f>
        <v>SUELDOS Y SALARIOS PERMANENTES</v>
      </c>
      <c r="K761" s="98" t="str">
        <f t="shared" si="27"/>
        <v>Posgrado</v>
      </c>
      <c r="L761" s="98" t="s">
        <v>393</v>
      </c>
    </row>
    <row r="762" spans="3:12" x14ac:dyDescent="0.25">
      <c r="C762" s="171" t="s">
        <v>58</v>
      </c>
      <c r="D762" s="163"/>
      <c r="E762" s="154">
        <v>0</v>
      </c>
      <c r="F762" s="100">
        <f>IF(E761=0,"",(G761/E761)/12*E761)</f>
        <v>0</v>
      </c>
      <c r="G762" s="97">
        <f>F762</f>
        <v>0</v>
      </c>
      <c r="H762" s="164"/>
      <c r="I762" s="116" t="s">
        <v>514</v>
      </c>
      <c r="J762" s="116" t="str">
        <f>VLOOKUP(I762,Presupuesto!$B$11:$C$565,2,0)</f>
        <v>AGUINALDO Y DECIMO CUARTO MES</v>
      </c>
      <c r="K762" s="98" t="str">
        <f t="shared" si="27"/>
        <v>Posgrado</v>
      </c>
      <c r="L762" s="98" t="s">
        <v>393</v>
      </c>
    </row>
    <row r="763" spans="3:12" ht="15.75" thickBot="1" x14ac:dyDescent="0.3">
      <c r="C763" s="172" t="s">
        <v>59</v>
      </c>
      <c r="D763" s="163"/>
      <c r="E763" s="154">
        <v>0</v>
      </c>
      <c r="F763" s="117">
        <f>IF(E761&lt;6,"",((E761-6)/12)*(G761/E761))</f>
        <v>0</v>
      </c>
      <c r="G763" s="97">
        <f>F763</f>
        <v>0</v>
      </c>
      <c r="H763" s="164"/>
      <c r="I763" s="101" t="s">
        <v>517</v>
      </c>
      <c r="J763" s="101" t="str">
        <f>VLOOKUP(I763,Presupuesto!$B$11:$C$565,2,0)</f>
        <v>DECIMOCUARTO MES</v>
      </c>
      <c r="K763" s="98" t="str">
        <f t="shared" si="27"/>
        <v>Posgrado</v>
      </c>
      <c r="L763" s="98" t="s">
        <v>393</v>
      </c>
    </row>
    <row r="764" spans="3:12" ht="15.75" thickBot="1" x14ac:dyDescent="0.3">
      <c r="C764" s="137" t="s">
        <v>489</v>
      </c>
      <c r="D764" s="199"/>
      <c r="E764" s="152">
        <v>12</v>
      </c>
      <c r="F764" s="303">
        <f>HLOOKUP($C764,$BZ$2:$CM$3,2,0)</f>
        <v>15004.09</v>
      </c>
      <c r="G764" s="113">
        <f>D764*E764*F764</f>
        <v>0</v>
      </c>
      <c r="H764" s="166"/>
      <c r="I764" s="114" t="s">
        <v>494</v>
      </c>
      <c r="J764" s="114" t="str">
        <f>VLOOKUP(I764,Presupuesto!$B$11:$C$565,2,0)</f>
        <v>SUELDOS Y SALARIOS PERMANENTES</v>
      </c>
      <c r="K764" s="98" t="str">
        <f t="shared" si="27"/>
        <v>Posgrado</v>
      </c>
      <c r="L764" s="98" t="s">
        <v>393</v>
      </c>
    </row>
    <row r="765" spans="3:12" x14ac:dyDescent="0.25">
      <c r="C765" s="171" t="s">
        <v>58</v>
      </c>
      <c r="D765" s="163"/>
      <c r="E765" s="154">
        <v>0</v>
      </c>
      <c r="F765" s="100">
        <f>IF(E764=0,"",(G764/E764)/12*E764)</f>
        <v>0</v>
      </c>
      <c r="G765" s="97">
        <f>F765</f>
        <v>0</v>
      </c>
      <c r="H765" s="164"/>
      <c r="I765" s="116" t="s">
        <v>514</v>
      </c>
      <c r="J765" s="116" t="str">
        <f>VLOOKUP(I765,Presupuesto!$B$11:$C$565,2,0)</f>
        <v>AGUINALDO Y DECIMO CUARTO MES</v>
      </c>
      <c r="K765" s="98" t="str">
        <f t="shared" si="27"/>
        <v>Posgrado</v>
      </c>
      <c r="L765" s="98" t="s">
        <v>393</v>
      </c>
    </row>
    <row r="766" spans="3:12" ht="15.75" thickBot="1" x14ac:dyDescent="0.3">
      <c r="C766" s="172" t="s">
        <v>59</v>
      </c>
      <c r="D766" s="163"/>
      <c r="E766" s="154">
        <v>0</v>
      </c>
      <c r="F766" s="117">
        <f>IF(E764&lt;6,"",((E764-6)/12)*(G764/E764))</f>
        <v>0</v>
      </c>
      <c r="G766" s="97">
        <f>F766</f>
        <v>0</v>
      </c>
      <c r="H766" s="164"/>
      <c r="I766" s="101" t="s">
        <v>517</v>
      </c>
      <c r="J766" s="101" t="str">
        <f>VLOOKUP(I766,Presupuesto!$B$11:$C$565,2,0)</f>
        <v>DECIMOCUARTO MES</v>
      </c>
      <c r="K766" s="98" t="str">
        <f t="shared" si="27"/>
        <v>Posgrado</v>
      </c>
      <c r="L766" s="98" t="s">
        <v>393</v>
      </c>
    </row>
    <row r="767" spans="3:12" ht="15.75" thickBot="1" x14ac:dyDescent="0.3">
      <c r="C767" s="137" t="s">
        <v>490</v>
      </c>
      <c r="D767" s="199"/>
      <c r="E767" s="152">
        <v>12</v>
      </c>
      <c r="F767" s="303">
        <f>HLOOKUP($C767,$BZ$2:$CM$3,2,0)</f>
        <v>13238.9</v>
      </c>
      <c r="G767" s="113">
        <f>D767*E767*F767</f>
        <v>0</v>
      </c>
      <c r="H767" s="166"/>
      <c r="I767" s="114" t="s">
        <v>494</v>
      </c>
      <c r="J767" s="114" t="str">
        <f>VLOOKUP(I767,Presupuesto!$B$11:$C$565,2,0)</f>
        <v>SUELDOS Y SALARIOS PERMANENTES</v>
      </c>
      <c r="K767" s="98" t="str">
        <f t="shared" si="27"/>
        <v>Posgrado</v>
      </c>
      <c r="L767" s="98" t="s">
        <v>393</v>
      </c>
    </row>
    <row r="768" spans="3:12" x14ac:dyDescent="0.25">
      <c r="C768" s="171" t="s">
        <v>58</v>
      </c>
      <c r="D768" s="163"/>
      <c r="E768" s="154">
        <v>0</v>
      </c>
      <c r="F768" s="100">
        <f>IF(E767=0,"",(G767/E767)/12*E767)</f>
        <v>0</v>
      </c>
      <c r="G768" s="97">
        <f>F768</f>
        <v>0</v>
      </c>
      <c r="H768" s="164"/>
      <c r="I768" s="116" t="s">
        <v>514</v>
      </c>
      <c r="J768" s="116" t="str">
        <f>VLOOKUP(I768,Presupuesto!$B$11:$C$565,2,0)</f>
        <v>AGUINALDO Y DECIMO CUARTO MES</v>
      </c>
      <c r="K768" s="98" t="str">
        <f t="shared" si="27"/>
        <v>Posgrado</v>
      </c>
      <c r="L768" s="98" t="s">
        <v>393</v>
      </c>
    </row>
    <row r="769" spans="3:12" ht="15.75" thickBot="1" x14ac:dyDescent="0.3">
      <c r="C769" s="172" t="s">
        <v>59</v>
      </c>
      <c r="D769" s="163"/>
      <c r="E769" s="154">
        <v>0</v>
      </c>
      <c r="F769" s="117">
        <f>IF(E767&lt;6,"",((E767-6)/12)*(G767/E767))</f>
        <v>0</v>
      </c>
      <c r="G769" s="97">
        <f>F769</f>
        <v>0</v>
      </c>
      <c r="H769" s="164"/>
      <c r="I769" s="101" t="s">
        <v>517</v>
      </c>
      <c r="J769" s="101" t="str">
        <f>VLOOKUP(I769,Presupuesto!$B$11:$C$565,2,0)</f>
        <v>DECIMOCUARTO MES</v>
      </c>
      <c r="K769" s="98" t="str">
        <f t="shared" si="27"/>
        <v>Posgrado</v>
      </c>
      <c r="L769" s="98" t="s">
        <v>393</v>
      </c>
    </row>
    <row r="770" spans="3:12" ht="15.75" thickBot="1" x14ac:dyDescent="0.3">
      <c r="C770" s="137" t="s">
        <v>491</v>
      </c>
      <c r="D770" s="199"/>
      <c r="E770" s="152">
        <v>12</v>
      </c>
      <c r="F770" s="303">
        <f>HLOOKUP($C770,$BZ$2:$CM$3,2,0)</f>
        <v>12356.31</v>
      </c>
      <c r="G770" s="113">
        <f>D770*E770*F770</f>
        <v>0</v>
      </c>
      <c r="H770" s="166"/>
      <c r="I770" s="114" t="s">
        <v>494</v>
      </c>
      <c r="J770" s="114" t="str">
        <f>VLOOKUP(I770,Presupuesto!$B$11:$C$565,2,0)</f>
        <v>SUELDOS Y SALARIOS PERMANENTES</v>
      </c>
      <c r="K770" s="98" t="str">
        <f t="shared" ref="K770:K787" si="28">$K$737</f>
        <v>Posgrado</v>
      </c>
      <c r="L770" s="98" t="s">
        <v>393</v>
      </c>
    </row>
    <row r="771" spans="3:12" x14ac:dyDescent="0.25">
      <c r="C771" s="171" t="s">
        <v>58</v>
      </c>
      <c r="D771" s="163"/>
      <c r="E771" s="154">
        <v>0</v>
      </c>
      <c r="F771" s="100">
        <f>IF(E770=0,"",(G770/E770)/12*E770)</f>
        <v>0</v>
      </c>
      <c r="G771" s="97">
        <f>F771</f>
        <v>0</v>
      </c>
      <c r="H771" s="164"/>
      <c r="I771" s="116" t="s">
        <v>514</v>
      </c>
      <c r="J771" s="116" t="str">
        <f>VLOOKUP(I771,Presupuesto!$B$11:$C$565,2,0)</f>
        <v>AGUINALDO Y DECIMO CUARTO MES</v>
      </c>
      <c r="K771" s="98" t="str">
        <f t="shared" si="28"/>
        <v>Posgrado</v>
      </c>
      <c r="L771" s="98" t="s">
        <v>393</v>
      </c>
    </row>
    <row r="772" spans="3:12" ht="15.75" thickBot="1" x14ac:dyDescent="0.3">
      <c r="C772" s="172" t="s">
        <v>59</v>
      </c>
      <c r="D772" s="163"/>
      <c r="E772" s="154">
        <v>0</v>
      </c>
      <c r="F772" s="117">
        <f>IF(E770&lt;6,"",((E770-6)/12)*(G770/E770))</f>
        <v>0</v>
      </c>
      <c r="G772" s="97">
        <f>F772</f>
        <v>0</v>
      </c>
      <c r="H772" s="164"/>
      <c r="I772" s="101" t="s">
        <v>517</v>
      </c>
      <c r="J772" s="101" t="str">
        <f>VLOOKUP(I772,Presupuesto!$B$11:$C$565,2,0)</f>
        <v>DECIMOCUARTO MES</v>
      </c>
      <c r="K772" s="98" t="str">
        <f t="shared" si="28"/>
        <v>Posgrado</v>
      </c>
      <c r="L772" s="98" t="s">
        <v>393</v>
      </c>
    </row>
    <row r="773" spans="3:12" ht="15.75" thickBot="1" x14ac:dyDescent="0.3">
      <c r="C773" s="137" t="s">
        <v>492</v>
      </c>
      <c r="D773" s="199"/>
      <c r="E773" s="152">
        <v>12</v>
      </c>
      <c r="F773" s="303">
        <f>HLOOKUP($C773,$BZ$2:$CM$3,2,0)</f>
        <v>463.22</v>
      </c>
      <c r="G773" s="113">
        <f>D773*E773*F773</f>
        <v>0</v>
      </c>
      <c r="H773" s="166"/>
      <c r="I773" s="114" t="s">
        <v>494</v>
      </c>
      <c r="J773" s="114" t="str">
        <f>VLOOKUP(I773,Presupuesto!$B$11:$C$565,2,0)</f>
        <v>SUELDOS Y SALARIOS PERMANENTES</v>
      </c>
      <c r="K773" s="98" t="str">
        <f t="shared" si="28"/>
        <v>Posgrado</v>
      </c>
      <c r="L773" s="98" t="s">
        <v>393</v>
      </c>
    </row>
    <row r="774" spans="3:12" x14ac:dyDescent="0.25">
      <c r="C774" s="171" t="s">
        <v>58</v>
      </c>
      <c r="D774" s="163"/>
      <c r="E774" s="154">
        <v>0</v>
      </c>
      <c r="F774" s="100">
        <f>IF(E773=0,"",(G773/E773)/12*E773)</f>
        <v>0</v>
      </c>
      <c r="G774" s="97">
        <f>F774</f>
        <v>0</v>
      </c>
      <c r="H774" s="164"/>
      <c r="I774" s="116" t="s">
        <v>514</v>
      </c>
      <c r="J774" s="116" t="str">
        <f>VLOOKUP(I774,Presupuesto!$B$11:$C$565,2,0)</f>
        <v>AGUINALDO Y DECIMO CUARTO MES</v>
      </c>
      <c r="K774" s="98" t="str">
        <f t="shared" si="28"/>
        <v>Posgrado</v>
      </c>
      <c r="L774" s="98" t="s">
        <v>393</v>
      </c>
    </row>
    <row r="775" spans="3:12" ht="15.75" thickBot="1" x14ac:dyDescent="0.3">
      <c r="C775" s="172" t="s">
        <v>59</v>
      </c>
      <c r="D775" s="163"/>
      <c r="E775" s="154">
        <v>0</v>
      </c>
      <c r="F775" s="117">
        <f>IF(E773&lt;6,"",((E773-6)/12)*(G773/E773))</f>
        <v>0</v>
      </c>
      <c r="G775" s="97">
        <f>F775</f>
        <v>0</v>
      </c>
      <c r="H775" s="164"/>
      <c r="I775" s="101" t="s">
        <v>517</v>
      </c>
      <c r="J775" s="101" t="str">
        <f>VLOOKUP(I775,Presupuesto!$B$11:$C$565,2,0)</f>
        <v>DECIMOCUARTO MES</v>
      </c>
      <c r="K775" s="98" t="str">
        <f t="shared" si="28"/>
        <v>Posgrado</v>
      </c>
      <c r="L775" s="98" t="s">
        <v>393</v>
      </c>
    </row>
    <row r="776" spans="3:12" ht="15.75" thickBot="1" x14ac:dyDescent="0.3">
      <c r="C776" s="137" t="s">
        <v>493</v>
      </c>
      <c r="D776" s="199"/>
      <c r="E776" s="152">
        <v>12</v>
      </c>
      <c r="F776" s="303">
        <f>HLOOKUP($C776,$BZ$2:$CM$3,2,0)</f>
        <v>2007.3</v>
      </c>
      <c r="G776" s="113">
        <f>D776*E776*F776</f>
        <v>0</v>
      </c>
      <c r="H776" s="166"/>
      <c r="I776" s="114" t="s">
        <v>494</v>
      </c>
      <c r="J776" s="114" t="str">
        <f>VLOOKUP(I776,Presupuesto!$B$11:$C$565,2,0)</f>
        <v>SUELDOS Y SALARIOS PERMANENTES</v>
      </c>
      <c r="K776" s="98" t="str">
        <f t="shared" si="28"/>
        <v>Posgrado</v>
      </c>
      <c r="L776" s="98" t="s">
        <v>393</v>
      </c>
    </row>
    <row r="777" spans="3:12" x14ac:dyDescent="0.25">
      <c r="C777" s="171" t="s">
        <v>58</v>
      </c>
      <c r="D777" s="163"/>
      <c r="E777" s="154">
        <v>0</v>
      </c>
      <c r="F777" s="100">
        <f>IF(E776=0,"",(G776/E776)/12*E776)</f>
        <v>0</v>
      </c>
      <c r="G777" s="97">
        <f>F777</f>
        <v>0</v>
      </c>
      <c r="H777" s="164"/>
      <c r="I777" s="116" t="s">
        <v>514</v>
      </c>
      <c r="J777" s="116" t="str">
        <f>VLOOKUP(I777,Presupuesto!$B$11:$C$565,2,0)</f>
        <v>AGUINALDO Y DECIMO CUARTO MES</v>
      </c>
      <c r="K777" s="98" t="str">
        <f t="shared" si="28"/>
        <v>Posgrado</v>
      </c>
      <c r="L777" s="98" t="s">
        <v>393</v>
      </c>
    </row>
    <row r="778" spans="3:12" ht="15.75" thickBot="1" x14ac:dyDescent="0.3">
      <c r="C778" s="172" t="s">
        <v>59</v>
      </c>
      <c r="D778" s="163"/>
      <c r="E778" s="154">
        <v>0</v>
      </c>
      <c r="F778" s="117">
        <f>IF(E776&lt;6,"",((E776-6)/12)*(G776/E776))</f>
        <v>0</v>
      </c>
      <c r="G778" s="97">
        <f>F778</f>
        <v>0</v>
      </c>
      <c r="H778" s="164"/>
      <c r="I778" s="101" t="s">
        <v>517</v>
      </c>
      <c r="J778" s="101" t="str">
        <f>VLOOKUP(I778,Presupuesto!$B$11:$C$565,2,0)</f>
        <v>DECIMOCUARTO MES</v>
      </c>
      <c r="K778" s="98" t="str">
        <f t="shared" si="28"/>
        <v>Posgrado</v>
      </c>
      <c r="L778" s="98" t="s">
        <v>393</v>
      </c>
    </row>
    <row r="779" spans="3:12" ht="15.75" thickBot="1" x14ac:dyDescent="0.3">
      <c r="C779" s="140" t="s">
        <v>83</v>
      </c>
      <c r="D779" s="199"/>
      <c r="E779" s="152">
        <v>12</v>
      </c>
      <c r="F779" s="139">
        <v>30000</v>
      </c>
      <c r="G779" s="113">
        <f>D779*E779*F779</f>
        <v>0</v>
      </c>
      <c r="H779" s="166"/>
      <c r="I779" s="114" t="s">
        <v>562</v>
      </c>
      <c r="J779" s="114" t="str">
        <f>VLOOKUP(I779,Presupuesto!$B$11:$C$565,2,0)</f>
        <v>CONTRATOS ESPECIALES</v>
      </c>
      <c r="K779" s="98" t="str">
        <f t="shared" si="28"/>
        <v>Posgrado</v>
      </c>
      <c r="L779" s="98" t="s">
        <v>393</v>
      </c>
    </row>
    <row r="780" spans="3:12" x14ac:dyDescent="0.25">
      <c r="C780" s="171" t="s">
        <v>58</v>
      </c>
      <c r="D780" s="163"/>
      <c r="E780" s="154">
        <v>0</v>
      </c>
      <c r="F780" s="117">
        <f>IF(E779=0,"",(G779/E779)/12*E779)</f>
        <v>0</v>
      </c>
      <c r="G780" s="97">
        <f>F780</f>
        <v>0</v>
      </c>
      <c r="H780" s="164"/>
      <c r="I780" s="101" t="s">
        <v>562</v>
      </c>
      <c r="J780" s="101" t="str">
        <f>VLOOKUP(I780,Presupuesto!$B$11:$C$565,2,0)</f>
        <v>CONTRATOS ESPECIALES</v>
      </c>
      <c r="K780" s="98" t="str">
        <f t="shared" si="28"/>
        <v>Posgrado</v>
      </c>
      <c r="L780" s="98" t="s">
        <v>392</v>
      </c>
    </row>
    <row r="781" spans="3:12" ht="15.75" thickBot="1" x14ac:dyDescent="0.3">
      <c r="C781" s="172" t="s">
        <v>59</v>
      </c>
      <c r="D781" s="163"/>
      <c r="E781" s="154">
        <v>0</v>
      </c>
      <c r="F781" s="100">
        <f>IF(E779&lt;6,"",((E779-6)/12)*(G779/E779))</f>
        <v>0</v>
      </c>
      <c r="G781" s="97">
        <f>F781</f>
        <v>0</v>
      </c>
      <c r="H781" s="164"/>
      <c r="I781" s="101" t="s">
        <v>562</v>
      </c>
      <c r="J781" s="101" t="str">
        <f>VLOOKUP(I781,Presupuesto!$B$11:$C$565,2,0)</f>
        <v>CONTRATOS ESPECIALES</v>
      </c>
      <c r="K781" s="98" t="str">
        <f t="shared" si="28"/>
        <v>Posgrado</v>
      </c>
      <c r="L781" s="98" t="s">
        <v>397</v>
      </c>
    </row>
    <row r="782" spans="3:12" ht="15.75" thickBot="1" x14ac:dyDescent="0.3">
      <c r="C782" s="140" t="s">
        <v>60</v>
      </c>
      <c r="D782" s="199"/>
      <c r="E782" s="152">
        <v>12</v>
      </c>
      <c r="F782" s="118">
        <v>30000</v>
      </c>
      <c r="G782" s="113">
        <f>D782*E782*F782</f>
        <v>0</v>
      </c>
      <c r="H782" s="166"/>
      <c r="I782" s="114" t="s">
        <v>703</v>
      </c>
      <c r="J782" s="114" t="str">
        <f>VLOOKUP(I782,Presupuesto!$B$11:$C$565,2,0)</f>
        <v>OTROS SERVICIOS TECNICOS Y PROFESIONALES</v>
      </c>
      <c r="K782" s="98" t="str">
        <f t="shared" si="28"/>
        <v>Posgrado</v>
      </c>
      <c r="L782" s="98" t="s">
        <v>392</v>
      </c>
    </row>
    <row r="783" spans="3:12" x14ac:dyDescent="0.25">
      <c r="C783" s="171" t="s">
        <v>58</v>
      </c>
      <c r="D783" s="163"/>
      <c r="E783" s="154">
        <v>0</v>
      </c>
      <c r="F783" s="100">
        <v>0</v>
      </c>
      <c r="G783" s="97">
        <f>F783</f>
        <v>0</v>
      </c>
      <c r="H783" s="164"/>
      <c r="I783" s="101" t="s">
        <v>703</v>
      </c>
      <c r="J783" s="101" t="str">
        <f>VLOOKUP(I783,Presupuesto!$B$11:$C$565,2,0)</f>
        <v>OTROS SERVICIOS TECNICOS Y PROFESIONALES</v>
      </c>
      <c r="K783" s="98" t="str">
        <f t="shared" si="28"/>
        <v>Posgrado</v>
      </c>
      <c r="L783" s="98" t="s">
        <v>392</v>
      </c>
    </row>
    <row r="784" spans="3:12" ht="15.75" thickBot="1" x14ac:dyDescent="0.3">
      <c r="C784" s="172" t="s">
        <v>59</v>
      </c>
      <c r="D784" s="163"/>
      <c r="E784" s="154">
        <v>0</v>
      </c>
      <c r="F784" s="100">
        <v>0</v>
      </c>
      <c r="G784" s="97">
        <f>F784</f>
        <v>0</v>
      </c>
      <c r="H784" s="164"/>
      <c r="I784" s="101" t="s">
        <v>703</v>
      </c>
      <c r="J784" s="101" t="str">
        <f>VLOOKUP(I784,Presupuesto!$B$11:$C$565,2,0)</f>
        <v>OTROS SERVICIOS TECNICOS Y PROFESIONALES</v>
      </c>
      <c r="K784" s="98" t="str">
        <f t="shared" si="28"/>
        <v>Posgrado</v>
      </c>
      <c r="L784" s="98" t="s">
        <v>392</v>
      </c>
    </row>
    <row r="785" spans="3:12" ht="15.75" thickBot="1" x14ac:dyDescent="0.3">
      <c r="C785" s="140" t="s">
        <v>61</v>
      </c>
      <c r="D785" s="199"/>
      <c r="E785" s="152">
        <v>12</v>
      </c>
      <c r="F785" s="118">
        <v>30000</v>
      </c>
      <c r="G785" s="113">
        <f>D785*E785*F785</f>
        <v>0</v>
      </c>
      <c r="H785" s="166"/>
      <c r="I785" s="114" t="s">
        <v>494</v>
      </c>
      <c r="J785" s="114" t="str">
        <f>VLOOKUP(I785,Presupuesto!$B$11:$C$565,2,0)</f>
        <v>SUELDOS Y SALARIOS PERMANENTES</v>
      </c>
      <c r="K785" s="98" t="str">
        <f t="shared" si="28"/>
        <v>Posgrado</v>
      </c>
      <c r="L785" s="98" t="s">
        <v>392</v>
      </c>
    </row>
    <row r="786" spans="3:12" x14ac:dyDescent="0.25">
      <c r="C786" s="171" t="s">
        <v>58</v>
      </c>
      <c r="D786" s="169"/>
      <c r="E786" s="131">
        <v>0</v>
      </c>
      <c r="F786" s="119">
        <f>IF(E785=0,"",(G785/E785)/12*E785)</f>
        <v>0</v>
      </c>
      <c r="G786" s="120">
        <f>F786</f>
        <v>0</v>
      </c>
      <c r="H786" s="164"/>
      <c r="I786" s="101" t="s">
        <v>514</v>
      </c>
      <c r="J786" s="101" t="str">
        <f>VLOOKUP(I786,Presupuesto!$B$11:$C$565,2,0)</f>
        <v>AGUINALDO Y DECIMO CUARTO MES</v>
      </c>
      <c r="K786" s="98" t="str">
        <f t="shared" si="28"/>
        <v>Posgrado</v>
      </c>
      <c r="L786" s="98" t="s">
        <v>392</v>
      </c>
    </row>
    <row r="787" spans="3:12" ht="15.75" thickBot="1" x14ac:dyDescent="0.3">
      <c r="C787" s="173" t="s">
        <v>59</v>
      </c>
      <c r="D787" s="162"/>
      <c r="E787" s="132">
        <v>0</v>
      </c>
      <c r="F787" s="105">
        <f>IF(E785&lt;6,"",((E785-6)/12)*(G785/E785))</f>
        <v>0</v>
      </c>
      <c r="G787" s="105">
        <f>F787</f>
        <v>0</v>
      </c>
      <c r="H787" s="162"/>
      <c r="I787" s="106" t="s">
        <v>517</v>
      </c>
      <c r="J787" s="124" t="str">
        <f>VLOOKUP(I787,Presupuesto!$B$11:$C$565,2,0)</f>
        <v>DECIMOCUARTO MES</v>
      </c>
      <c r="K787" s="106" t="str">
        <f t="shared" si="28"/>
        <v>Posgrado</v>
      </c>
      <c r="L787" s="124" t="s">
        <v>392</v>
      </c>
    </row>
    <row r="789" spans="3:12" ht="15.75" thickBot="1" x14ac:dyDescent="0.3"/>
    <row r="790" spans="3:12" ht="15.75" thickBot="1" x14ac:dyDescent="0.3">
      <c r="C790" s="69" t="s">
        <v>43</v>
      </c>
      <c r="D790" s="30">
        <f>SUM(G797:G847)</f>
        <v>0</v>
      </c>
      <c r="E790" s="93"/>
      <c r="F790" s="93"/>
      <c r="G790" s="93"/>
      <c r="H790" s="76"/>
      <c r="I790" s="76"/>
      <c r="J790" s="76"/>
    </row>
    <row r="791" spans="3:12" x14ac:dyDescent="0.25">
      <c r="D791" s="31"/>
      <c r="E791" s="93"/>
      <c r="F791" s="93"/>
      <c r="G791" s="93"/>
      <c r="H791" s="76"/>
      <c r="I791" s="76"/>
      <c r="J791" s="76"/>
    </row>
    <row r="792" spans="3:12" x14ac:dyDescent="0.25">
      <c r="D792" s="31"/>
      <c r="E792" s="93"/>
      <c r="F792" s="93"/>
      <c r="G792" s="93"/>
      <c r="H792" s="76"/>
      <c r="I792" s="76"/>
      <c r="J792" s="76"/>
    </row>
    <row r="793" spans="3:12" ht="15.75" x14ac:dyDescent="0.25">
      <c r="C793" s="202" t="s">
        <v>390</v>
      </c>
      <c r="D793" s="368"/>
      <c r="E793" s="93"/>
      <c r="F793" s="93"/>
      <c r="G793" s="93"/>
      <c r="H793" s="76"/>
      <c r="I793" s="76"/>
      <c r="J793" s="76"/>
      <c r="K793" s="153"/>
    </row>
    <row r="794" spans="3:12" ht="18.75" x14ac:dyDescent="0.25">
      <c r="C794" s="210" t="e">
        <f>IFERROR(VLOOKUP(D793,'1. Desarrollo e Innov. Curricu.'!$F:$G,2,FALSE),IFERROR(VLOOKUP(D793,'2. Investigación Científica'!$F:$G,2,FALSE),IFERROR(VLOOKUP(D793,'3. Vinculación Univ. Sociedad'!$F:$G,2,FALSE),IFERROR(VLOOKUP(D793,'4. Docencia y Profesorado Univ.'!$F:$G,2,FALSE),IFERROR(VLOOKUP(D793,'5. Estudiantes y Graduados'!$F:$G,2,FALSE),IFERROR(VLOOKUP(D793,'11. Gestion Administrativa'!$F:$G,2,FALSE),IFERROR(VLOOKUP(D793,'13. Gestión Académica'!$F:$G,2,FALSE),IFERROR(VLOOKUP(D793,'9. Asegura. de la Calid. y M'!$F:$G,2,FALSE),IFERROR(VLOOKUP(D793,'6. Gestión del Conocimiento'!$F:$G,2,FALSE),IFERROR(VLOOKUP(D793,'15. Gobernabilidad y Proceso...'!$G:$H,2,FALSE),IFERROR(VLOOKUP(D793,'12. Gestión del Talento Humano'!$F:$G,2,FALSE),IFERROR(VLOOKUP(D793,'14. Internacional... de la E.S.'!$F:$G,2,FALSE),IFERROR(VLOOKUP(D793,'10. Posgrado'!$F:$G,2,FALSE),IFERROR(VLOOKUP(D793,'17. Gestión TIC'!$F:$G,2,FALSE),IFERROR(VLOOKUP(D793,'16. Desa. del Sistema Educ.Sup.'!$F:$G,2,FALSE),IFERROR(VLOOKUP(D793,'8. Cultura de Inno. Insti...'!$F:$G,2,FALSE),VLOOKUP(D793,'7. Lo Esencial de la Reforma U.'!$G:$H,2,0)))))))))))))))))</f>
        <v>#N/A</v>
      </c>
      <c r="D794" s="31"/>
      <c r="E794" s="93"/>
      <c r="F794" s="93"/>
      <c r="G794" s="93"/>
      <c r="H794" s="76"/>
      <c r="I794" s="76"/>
      <c r="J794" s="76"/>
      <c r="K794" s="153"/>
    </row>
    <row r="795" spans="3:12" ht="15.75" thickBot="1" x14ac:dyDescent="0.3">
      <c r="C795" s="177"/>
      <c r="D795" s="31"/>
      <c r="E795" s="93"/>
      <c r="F795" s="93"/>
      <c r="G795" s="93"/>
      <c r="H795" s="76"/>
      <c r="I795" s="76"/>
      <c r="J795" s="76"/>
      <c r="K795" s="153"/>
    </row>
    <row r="796" spans="3:12" ht="30.75" thickBot="1" x14ac:dyDescent="0.3">
      <c r="C796" s="134" t="s">
        <v>44</v>
      </c>
      <c r="D796" s="138" t="s">
        <v>55</v>
      </c>
      <c r="E796" s="170" t="s">
        <v>56</v>
      </c>
      <c r="F796" s="138" t="s">
        <v>57</v>
      </c>
      <c r="G796" s="135" t="s">
        <v>27</v>
      </c>
      <c r="H796" s="133" t="s">
        <v>129</v>
      </c>
      <c r="I796" s="136" t="s">
        <v>46</v>
      </c>
      <c r="J796" s="136" t="s">
        <v>130</v>
      </c>
      <c r="K796" s="136" t="s">
        <v>408</v>
      </c>
      <c r="L796" s="136" t="s">
        <v>409</v>
      </c>
    </row>
    <row r="797" spans="3:12" ht="15.75" thickBot="1" x14ac:dyDescent="0.3">
      <c r="C797" s="137" t="s">
        <v>480</v>
      </c>
      <c r="D797" s="199"/>
      <c r="E797" s="152">
        <v>12</v>
      </c>
      <c r="F797" s="303">
        <f>HLOOKUP($C797,$BZ$2:$CM$3,2,0)</f>
        <v>43674.39</v>
      </c>
      <c r="G797" s="113">
        <f>D797*E797*F797</f>
        <v>0</v>
      </c>
      <c r="H797" s="166"/>
      <c r="I797" s="114" t="s">
        <v>494</v>
      </c>
      <c r="J797" s="114" t="str">
        <f>VLOOKUP(I797,Presupuesto!$B$11:$C$565,2,0)</f>
        <v>SUELDOS Y SALARIOS PERMANENTES</v>
      </c>
      <c r="K797" s="218" t="s">
        <v>1443</v>
      </c>
      <c r="L797" s="98" t="s">
        <v>392</v>
      </c>
    </row>
    <row r="798" spans="3:12" x14ac:dyDescent="0.25">
      <c r="C798" s="171" t="s">
        <v>58</v>
      </c>
      <c r="D798" s="163"/>
      <c r="E798" s="154">
        <v>0</v>
      </c>
      <c r="F798" s="100">
        <f>IF(E797=0,"",(G797/E797)/12*E797)</f>
        <v>0</v>
      </c>
      <c r="G798" s="97">
        <f>F798</f>
        <v>0</v>
      </c>
      <c r="H798" s="164"/>
      <c r="I798" s="116" t="s">
        <v>514</v>
      </c>
      <c r="J798" s="116" t="str">
        <f>VLOOKUP(I798,Presupuesto!$B$11:$C$565,2,0)</f>
        <v>AGUINALDO Y DECIMO CUARTO MES</v>
      </c>
      <c r="K798" s="98" t="str">
        <f t="shared" ref="K798:K829" si="29">$K$797</f>
        <v>Posgrado</v>
      </c>
      <c r="L798" s="98" t="s">
        <v>410</v>
      </c>
    </row>
    <row r="799" spans="3:12" ht="15.75" thickBot="1" x14ac:dyDescent="0.3">
      <c r="C799" s="172" t="s">
        <v>59</v>
      </c>
      <c r="D799" s="163"/>
      <c r="E799" s="154">
        <v>0</v>
      </c>
      <c r="F799" s="117">
        <f>IF(E797&lt;6,"",((E797-6)/12)*(G797/E797))</f>
        <v>0</v>
      </c>
      <c r="G799" s="97">
        <f>F799</f>
        <v>0</v>
      </c>
      <c r="H799" s="164"/>
      <c r="I799" s="101" t="s">
        <v>517</v>
      </c>
      <c r="J799" s="101" t="str">
        <f>VLOOKUP(I799,Presupuesto!$B$11:$C$565,2,0)</f>
        <v>DECIMOCUARTO MES</v>
      </c>
      <c r="K799" s="98" t="str">
        <f t="shared" si="29"/>
        <v>Posgrado</v>
      </c>
      <c r="L799" s="98" t="s">
        <v>393</v>
      </c>
    </row>
    <row r="800" spans="3:12" ht="15.75" thickBot="1" x14ac:dyDescent="0.3">
      <c r="C800" s="137" t="s">
        <v>481</v>
      </c>
      <c r="D800" s="199"/>
      <c r="E800" s="152">
        <v>12</v>
      </c>
      <c r="F800" s="303">
        <f>HLOOKUP($C800,$BZ$2:$CM$3,2,0)</f>
        <v>39703.99</v>
      </c>
      <c r="G800" s="113">
        <f>D800*E800*F800</f>
        <v>0</v>
      </c>
      <c r="H800" s="166"/>
      <c r="I800" s="114" t="s">
        <v>494</v>
      </c>
      <c r="J800" s="114" t="str">
        <f>VLOOKUP(I800,Presupuesto!$B$11:$C$565,2,0)</f>
        <v>SUELDOS Y SALARIOS PERMANENTES</v>
      </c>
      <c r="K800" s="98" t="str">
        <f t="shared" si="29"/>
        <v>Posgrado</v>
      </c>
      <c r="L800" s="98" t="s">
        <v>393</v>
      </c>
    </row>
    <row r="801" spans="3:12" x14ac:dyDescent="0.25">
      <c r="C801" s="171" t="s">
        <v>58</v>
      </c>
      <c r="D801" s="163"/>
      <c r="E801" s="154">
        <v>0</v>
      </c>
      <c r="F801" s="100">
        <f>IF(E800=0,"",(G800/E800)/12*E800)</f>
        <v>0</v>
      </c>
      <c r="G801" s="97">
        <f>F801</f>
        <v>0</v>
      </c>
      <c r="H801" s="164"/>
      <c r="I801" s="116" t="s">
        <v>514</v>
      </c>
      <c r="J801" s="116" t="str">
        <f>VLOOKUP(I801,Presupuesto!$B$11:$C$565,2,0)</f>
        <v>AGUINALDO Y DECIMO CUARTO MES</v>
      </c>
      <c r="K801" s="98" t="str">
        <f t="shared" si="29"/>
        <v>Posgrado</v>
      </c>
      <c r="L801" s="98" t="s">
        <v>393</v>
      </c>
    </row>
    <row r="802" spans="3:12" ht="15.75" thickBot="1" x14ac:dyDescent="0.3">
      <c r="C802" s="172" t="s">
        <v>59</v>
      </c>
      <c r="D802" s="163"/>
      <c r="E802" s="154">
        <v>0</v>
      </c>
      <c r="F802" s="117">
        <f>IF(E800&lt;6,"",((E800-6)/12)*(G800/E800))</f>
        <v>0</v>
      </c>
      <c r="G802" s="97">
        <f>F802</f>
        <v>0</v>
      </c>
      <c r="H802" s="164"/>
      <c r="I802" s="101" t="s">
        <v>517</v>
      </c>
      <c r="J802" s="101" t="str">
        <f>VLOOKUP(I802,Presupuesto!$B$11:$C$565,2,0)</f>
        <v>DECIMOCUARTO MES</v>
      </c>
      <c r="K802" s="98" t="str">
        <f t="shared" si="29"/>
        <v>Posgrado</v>
      </c>
      <c r="L802" s="98" t="s">
        <v>393</v>
      </c>
    </row>
    <row r="803" spans="3:12" ht="15.75" thickBot="1" x14ac:dyDescent="0.3">
      <c r="C803" s="137" t="s">
        <v>482</v>
      </c>
      <c r="D803" s="199"/>
      <c r="E803" s="152">
        <v>12</v>
      </c>
      <c r="F803" s="303">
        <f>HLOOKUP($C803,$BZ$2:$CM$3,2,0)</f>
        <v>35733.589999999997</v>
      </c>
      <c r="G803" s="113">
        <f>D803*E803*F803</f>
        <v>0</v>
      </c>
      <c r="H803" s="166"/>
      <c r="I803" s="114" t="s">
        <v>494</v>
      </c>
      <c r="J803" s="114" t="str">
        <f>VLOOKUP(I803,Presupuesto!$B$11:$C$565,2,0)</f>
        <v>SUELDOS Y SALARIOS PERMANENTES</v>
      </c>
      <c r="K803" s="98" t="str">
        <f t="shared" si="29"/>
        <v>Posgrado</v>
      </c>
      <c r="L803" s="98" t="s">
        <v>393</v>
      </c>
    </row>
    <row r="804" spans="3:12" x14ac:dyDescent="0.25">
      <c r="C804" s="171" t="s">
        <v>58</v>
      </c>
      <c r="D804" s="163"/>
      <c r="E804" s="154">
        <v>0</v>
      </c>
      <c r="F804" s="100">
        <f>IF(E803=0,"",(G803/E803)/12*E803)</f>
        <v>0</v>
      </c>
      <c r="G804" s="97">
        <f>F804</f>
        <v>0</v>
      </c>
      <c r="H804" s="164"/>
      <c r="I804" s="116" t="s">
        <v>514</v>
      </c>
      <c r="J804" s="116" t="str">
        <f>VLOOKUP(I804,Presupuesto!$B$11:$C$565,2,0)</f>
        <v>AGUINALDO Y DECIMO CUARTO MES</v>
      </c>
      <c r="K804" s="98" t="str">
        <f t="shared" si="29"/>
        <v>Posgrado</v>
      </c>
      <c r="L804" s="98" t="s">
        <v>393</v>
      </c>
    </row>
    <row r="805" spans="3:12" ht="15.75" thickBot="1" x14ac:dyDescent="0.3">
      <c r="C805" s="172" t="s">
        <v>59</v>
      </c>
      <c r="D805" s="163"/>
      <c r="E805" s="154">
        <v>0</v>
      </c>
      <c r="F805" s="117">
        <f>IF(E803&lt;6,"",((E803-6)/12)*(G803/E803))</f>
        <v>0</v>
      </c>
      <c r="G805" s="97">
        <f>F805</f>
        <v>0</v>
      </c>
      <c r="H805" s="164"/>
      <c r="I805" s="101" t="s">
        <v>517</v>
      </c>
      <c r="J805" s="101" t="str">
        <f>VLOOKUP(I805,Presupuesto!$B$11:$C$565,2,0)</f>
        <v>DECIMOCUARTO MES</v>
      </c>
      <c r="K805" s="98" t="str">
        <f t="shared" si="29"/>
        <v>Posgrado</v>
      </c>
      <c r="L805" s="98" t="s">
        <v>393</v>
      </c>
    </row>
    <row r="806" spans="3:12" ht="15.75" thickBot="1" x14ac:dyDescent="0.3">
      <c r="C806" s="137" t="s">
        <v>483</v>
      </c>
      <c r="D806" s="199"/>
      <c r="E806" s="152">
        <v>12</v>
      </c>
      <c r="F806" s="303">
        <f>HLOOKUP($C806,$BZ$2:$CM$3,2,0)</f>
        <v>31763.19</v>
      </c>
      <c r="G806" s="113">
        <f>D806*E806*F806</f>
        <v>0</v>
      </c>
      <c r="H806" s="166"/>
      <c r="I806" s="114" t="s">
        <v>494</v>
      </c>
      <c r="J806" s="114" t="str">
        <f>VLOOKUP(I806,Presupuesto!$B$11:$C$565,2,0)</f>
        <v>SUELDOS Y SALARIOS PERMANENTES</v>
      </c>
      <c r="K806" s="98" t="str">
        <f t="shared" si="29"/>
        <v>Posgrado</v>
      </c>
      <c r="L806" s="98" t="s">
        <v>393</v>
      </c>
    </row>
    <row r="807" spans="3:12" x14ac:dyDescent="0.25">
      <c r="C807" s="171" t="s">
        <v>58</v>
      </c>
      <c r="D807" s="163"/>
      <c r="E807" s="154">
        <v>0</v>
      </c>
      <c r="F807" s="100">
        <f>IF(E806=0,"",(G806/E806)/12*E806)</f>
        <v>0</v>
      </c>
      <c r="G807" s="97">
        <f>F807</f>
        <v>0</v>
      </c>
      <c r="H807" s="164"/>
      <c r="I807" s="116" t="s">
        <v>514</v>
      </c>
      <c r="J807" s="116" t="str">
        <f>VLOOKUP(I807,Presupuesto!$B$11:$C$565,2,0)</f>
        <v>AGUINALDO Y DECIMO CUARTO MES</v>
      </c>
      <c r="K807" s="98" t="str">
        <f t="shared" si="29"/>
        <v>Posgrado</v>
      </c>
      <c r="L807" s="98" t="s">
        <v>393</v>
      </c>
    </row>
    <row r="808" spans="3:12" ht="15.75" thickBot="1" x14ac:dyDescent="0.3">
      <c r="C808" s="172" t="s">
        <v>59</v>
      </c>
      <c r="D808" s="163"/>
      <c r="E808" s="154">
        <v>0</v>
      </c>
      <c r="F808" s="117">
        <f>IF(E806&lt;6,"",((E806-6)/12)*(G806/E806))</f>
        <v>0</v>
      </c>
      <c r="G808" s="97">
        <f>F808</f>
        <v>0</v>
      </c>
      <c r="H808" s="164"/>
      <c r="I808" s="101" t="s">
        <v>517</v>
      </c>
      <c r="J808" s="101" t="str">
        <f>VLOOKUP(I808,Presupuesto!$B$11:$C$565,2,0)</f>
        <v>DECIMOCUARTO MES</v>
      </c>
      <c r="K808" s="98" t="str">
        <f t="shared" si="29"/>
        <v>Posgrado</v>
      </c>
      <c r="L808" s="98" t="s">
        <v>393</v>
      </c>
    </row>
    <row r="809" spans="3:12" ht="15.75" thickBot="1" x14ac:dyDescent="0.3">
      <c r="C809" s="137" t="s">
        <v>484</v>
      </c>
      <c r="D809" s="199"/>
      <c r="E809" s="152">
        <v>12</v>
      </c>
      <c r="F809" s="303">
        <f>HLOOKUP($C809,$BZ$2:$CM$3,2,0)</f>
        <v>29777.99</v>
      </c>
      <c r="G809" s="113">
        <f>D809*E809*F809</f>
        <v>0</v>
      </c>
      <c r="H809" s="166"/>
      <c r="I809" s="114" t="s">
        <v>494</v>
      </c>
      <c r="J809" s="114" t="str">
        <f>VLOOKUP(I809,Presupuesto!$B$11:$C$565,2,0)</f>
        <v>SUELDOS Y SALARIOS PERMANENTES</v>
      </c>
      <c r="K809" s="98" t="str">
        <f t="shared" si="29"/>
        <v>Posgrado</v>
      </c>
      <c r="L809" s="98" t="s">
        <v>393</v>
      </c>
    </row>
    <row r="810" spans="3:12" x14ac:dyDescent="0.25">
      <c r="C810" s="171" t="s">
        <v>58</v>
      </c>
      <c r="D810" s="163"/>
      <c r="E810" s="154">
        <v>0</v>
      </c>
      <c r="F810" s="100">
        <f>IF(E809=0,"",(G809/E809)/12*E809)</f>
        <v>0</v>
      </c>
      <c r="G810" s="97">
        <f>F810</f>
        <v>0</v>
      </c>
      <c r="H810" s="164"/>
      <c r="I810" s="116" t="s">
        <v>514</v>
      </c>
      <c r="J810" s="116" t="str">
        <f>VLOOKUP(I810,Presupuesto!$B$11:$C$565,2,0)</f>
        <v>AGUINALDO Y DECIMO CUARTO MES</v>
      </c>
      <c r="K810" s="98" t="str">
        <f t="shared" si="29"/>
        <v>Posgrado</v>
      </c>
      <c r="L810" s="98" t="s">
        <v>393</v>
      </c>
    </row>
    <row r="811" spans="3:12" ht="15.75" thickBot="1" x14ac:dyDescent="0.3">
      <c r="C811" s="172" t="s">
        <v>59</v>
      </c>
      <c r="D811" s="163"/>
      <c r="E811" s="154">
        <v>0</v>
      </c>
      <c r="F811" s="117">
        <f>IF(E809&lt;6,"",((E809-6)/12)*(G809/E809))</f>
        <v>0</v>
      </c>
      <c r="G811" s="97">
        <f>F811</f>
        <v>0</v>
      </c>
      <c r="H811" s="164"/>
      <c r="I811" s="101" t="s">
        <v>517</v>
      </c>
      <c r="J811" s="101" t="str">
        <f>VLOOKUP(I811,Presupuesto!$B$11:$C$565,2,0)</f>
        <v>DECIMOCUARTO MES</v>
      </c>
      <c r="K811" s="98" t="str">
        <f t="shared" si="29"/>
        <v>Posgrado</v>
      </c>
      <c r="L811" s="98" t="s">
        <v>393</v>
      </c>
    </row>
    <row r="812" spans="3:12" ht="15.75" thickBot="1" x14ac:dyDescent="0.3">
      <c r="C812" s="137" t="s">
        <v>485</v>
      </c>
      <c r="D812" s="199"/>
      <c r="E812" s="152">
        <v>12</v>
      </c>
      <c r="F812" s="303">
        <f>HLOOKUP($C812,$BZ$2:$CM$3,2,0)</f>
        <v>27792.79</v>
      </c>
      <c r="G812" s="113">
        <f>D812*E812*F812</f>
        <v>0</v>
      </c>
      <c r="H812" s="166"/>
      <c r="I812" s="114" t="s">
        <v>494</v>
      </c>
      <c r="J812" s="114" t="str">
        <f>VLOOKUP(I812,Presupuesto!$B$11:$C$565,2,0)</f>
        <v>SUELDOS Y SALARIOS PERMANENTES</v>
      </c>
      <c r="K812" s="98" t="str">
        <f t="shared" si="29"/>
        <v>Posgrado</v>
      </c>
      <c r="L812" s="98" t="s">
        <v>393</v>
      </c>
    </row>
    <row r="813" spans="3:12" x14ac:dyDescent="0.25">
      <c r="C813" s="171" t="s">
        <v>58</v>
      </c>
      <c r="D813" s="163"/>
      <c r="E813" s="154">
        <v>0</v>
      </c>
      <c r="F813" s="100">
        <f>IF(E812=0,"",(G812/E812)/12*E812)</f>
        <v>0</v>
      </c>
      <c r="G813" s="97">
        <f>F813</f>
        <v>0</v>
      </c>
      <c r="H813" s="164"/>
      <c r="I813" s="116" t="s">
        <v>514</v>
      </c>
      <c r="J813" s="116" t="str">
        <f>VLOOKUP(I813,Presupuesto!$B$11:$C$565,2,0)</f>
        <v>AGUINALDO Y DECIMO CUARTO MES</v>
      </c>
      <c r="K813" s="98" t="str">
        <f t="shared" si="29"/>
        <v>Posgrado</v>
      </c>
      <c r="L813" s="98" t="s">
        <v>393</v>
      </c>
    </row>
    <row r="814" spans="3:12" ht="15.75" thickBot="1" x14ac:dyDescent="0.3">
      <c r="C814" s="172" t="s">
        <v>59</v>
      </c>
      <c r="D814" s="163"/>
      <c r="E814" s="154">
        <v>0</v>
      </c>
      <c r="F814" s="117">
        <f>IF(E812&lt;6,"",((E812-6)/12)*(G812/E812))</f>
        <v>0</v>
      </c>
      <c r="G814" s="97">
        <f>F814</f>
        <v>0</v>
      </c>
      <c r="H814" s="164"/>
      <c r="I814" s="101" t="s">
        <v>517</v>
      </c>
      <c r="J814" s="101" t="str">
        <f>VLOOKUP(I814,Presupuesto!$B$11:$C$565,2,0)</f>
        <v>DECIMOCUARTO MES</v>
      </c>
      <c r="K814" s="98" t="str">
        <f t="shared" si="29"/>
        <v>Posgrado</v>
      </c>
      <c r="L814" s="98" t="s">
        <v>393</v>
      </c>
    </row>
    <row r="815" spans="3:12" ht="15.75" thickBot="1" x14ac:dyDescent="0.3">
      <c r="C815" s="137" t="s">
        <v>486</v>
      </c>
      <c r="D815" s="199"/>
      <c r="E815" s="152">
        <v>12</v>
      </c>
      <c r="F815" s="303">
        <f>HLOOKUP($C815,$BZ$2:$CM$3,2,0)</f>
        <v>18859.39</v>
      </c>
      <c r="G815" s="113">
        <f>D815*E815*F815</f>
        <v>0</v>
      </c>
      <c r="H815" s="166"/>
      <c r="I815" s="114" t="s">
        <v>494</v>
      </c>
      <c r="J815" s="114" t="str">
        <f>VLOOKUP(I815,Presupuesto!$B$11:$C$565,2,0)</f>
        <v>SUELDOS Y SALARIOS PERMANENTES</v>
      </c>
      <c r="K815" s="98" t="str">
        <f t="shared" si="29"/>
        <v>Posgrado</v>
      </c>
      <c r="L815" s="98" t="s">
        <v>393</v>
      </c>
    </row>
    <row r="816" spans="3:12" x14ac:dyDescent="0.25">
      <c r="C816" s="171" t="s">
        <v>58</v>
      </c>
      <c r="D816" s="163"/>
      <c r="E816" s="154">
        <v>0</v>
      </c>
      <c r="F816" s="100">
        <f>IF(E815=0,"",(G815/E815)/12*E815)</f>
        <v>0</v>
      </c>
      <c r="G816" s="97">
        <f>F816</f>
        <v>0</v>
      </c>
      <c r="H816" s="164"/>
      <c r="I816" s="116" t="s">
        <v>514</v>
      </c>
      <c r="J816" s="116" t="str">
        <f>VLOOKUP(I816,Presupuesto!$B$11:$C$565,2,0)</f>
        <v>AGUINALDO Y DECIMO CUARTO MES</v>
      </c>
      <c r="K816" s="98" t="str">
        <f t="shared" si="29"/>
        <v>Posgrado</v>
      </c>
      <c r="L816" s="98" t="s">
        <v>393</v>
      </c>
    </row>
    <row r="817" spans="3:12" ht="15.75" thickBot="1" x14ac:dyDescent="0.3">
      <c r="C817" s="172" t="s">
        <v>59</v>
      </c>
      <c r="D817" s="163"/>
      <c r="E817" s="154">
        <v>0</v>
      </c>
      <c r="F817" s="117">
        <f>IF(E815&lt;6,"",((E815-6)/12)*(G815/E815))</f>
        <v>0</v>
      </c>
      <c r="G817" s="97">
        <f>F817</f>
        <v>0</v>
      </c>
      <c r="H817" s="164"/>
      <c r="I817" s="101" t="s">
        <v>517</v>
      </c>
      <c r="J817" s="101" t="str">
        <f>VLOOKUP(I817,Presupuesto!$B$11:$C$565,2,0)</f>
        <v>DECIMOCUARTO MES</v>
      </c>
      <c r="K817" s="98" t="str">
        <f t="shared" si="29"/>
        <v>Posgrado</v>
      </c>
      <c r="L817" s="98" t="s">
        <v>393</v>
      </c>
    </row>
    <row r="818" spans="3:12" ht="15.75" thickBot="1" x14ac:dyDescent="0.3">
      <c r="C818" s="137" t="s">
        <v>487</v>
      </c>
      <c r="D818" s="199"/>
      <c r="E818" s="152">
        <v>12</v>
      </c>
      <c r="F818" s="303">
        <f>HLOOKUP($C818,$BZ$2:$CM$3,2,0)</f>
        <v>17866.8</v>
      </c>
      <c r="G818" s="113">
        <f>D818*E818*F818</f>
        <v>0</v>
      </c>
      <c r="H818" s="166"/>
      <c r="I818" s="114" t="s">
        <v>494</v>
      </c>
      <c r="J818" s="114" t="str">
        <f>VLOOKUP(I818,Presupuesto!$B$11:$C$565,2,0)</f>
        <v>SUELDOS Y SALARIOS PERMANENTES</v>
      </c>
      <c r="K818" s="98" t="str">
        <f t="shared" si="29"/>
        <v>Posgrado</v>
      </c>
      <c r="L818" s="98" t="s">
        <v>393</v>
      </c>
    </row>
    <row r="819" spans="3:12" x14ac:dyDescent="0.25">
      <c r="C819" s="171" t="s">
        <v>58</v>
      </c>
      <c r="D819" s="163"/>
      <c r="E819" s="154">
        <v>0</v>
      </c>
      <c r="F819" s="100">
        <f>IF(E818=0,"",(G818/E818)/12*E818)</f>
        <v>0</v>
      </c>
      <c r="G819" s="97">
        <f>F819</f>
        <v>0</v>
      </c>
      <c r="H819" s="164"/>
      <c r="I819" s="116" t="s">
        <v>514</v>
      </c>
      <c r="J819" s="116" t="str">
        <f>VLOOKUP(I819,Presupuesto!$B$11:$C$565,2,0)</f>
        <v>AGUINALDO Y DECIMO CUARTO MES</v>
      </c>
      <c r="K819" s="98" t="str">
        <f t="shared" si="29"/>
        <v>Posgrado</v>
      </c>
      <c r="L819" s="98" t="s">
        <v>393</v>
      </c>
    </row>
    <row r="820" spans="3:12" ht="15.75" thickBot="1" x14ac:dyDescent="0.3">
      <c r="C820" s="172" t="s">
        <v>59</v>
      </c>
      <c r="D820" s="163"/>
      <c r="E820" s="154">
        <v>0</v>
      </c>
      <c r="F820" s="117">
        <f>IF(E818&lt;6,"",((E818-6)/12)*(G818/E818))</f>
        <v>0</v>
      </c>
      <c r="G820" s="97">
        <f>F820</f>
        <v>0</v>
      </c>
      <c r="H820" s="164"/>
      <c r="I820" s="101" t="s">
        <v>517</v>
      </c>
      <c r="J820" s="101" t="str">
        <f>VLOOKUP(I820,Presupuesto!$B$11:$C$565,2,0)</f>
        <v>DECIMOCUARTO MES</v>
      </c>
      <c r="K820" s="98" t="str">
        <f t="shared" si="29"/>
        <v>Posgrado</v>
      </c>
      <c r="L820" s="98" t="s">
        <v>393</v>
      </c>
    </row>
    <row r="821" spans="3:12" ht="15.75" thickBot="1" x14ac:dyDescent="0.3">
      <c r="C821" s="137" t="s">
        <v>488</v>
      </c>
      <c r="D821" s="199"/>
      <c r="E821" s="152">
        <v>12</v>
      </c>
      <c r="F821" s="303">
        <f>HLOOKUP($C821,$BZ$2:$CM$3,2,0)</f>
        <v>13896.4</v>
      </c>
      <c r="G821" s="113">
        <f>D821*E821*F821</f>
        <v>0</v>
      </c>
      <c r="H821" s="166"/>
      <c r="I821" s="114" t="s">
        <v>494</v>
      </c>
      <c r="J821" s="114" t="str">
        <f>VLOOKUP(I821,Presupuesto!$B$11:$C$565,2,0)</f>
        <v>SUELDOS Y SALARIOS PERMANENTES</v>
      </c>
      <c r="K821" s="98" t="str">
        <f t="shared" si="29"/>
        <v>Posgrado</v>
      </c>
      <c r="L821" s="98" t="s">
        <v>393</v>
      </c>
    </row>
    <row r="822" spans="3:12" x14ac:dyDescent="0.25">
      <c r="C822" s="171" t="s">
        <v>58</v>
      </c>
      <c r="D822" s="163"/>
      <c r="E822" s="154">
        <v>0</v>
      </c>
      <c r="F822" s="100">
        <f>IF(E821=0,"",(G821/E821)/12*E821)</f>
        <v>0</v>
      </c>
      <c r="G822" s="97">
        <f>F822</f>
        <v>0</v>
      </c>
      <c r="H822" s="164"/>
      <c r="I822" s="116" t="s">
        <v>514</v>
      </c>
      <c r="J822" s="116" t="str">
        <f>VLOOKUP(I822,Presupuesto!$B$11:$C$565,2,0)</f>
        <v>AGUINALDO Y DECIMO CUARTO MES</v>
      </c>
      <c r="K822" s="98" t="str">
        <f t="shared" si="29"/>
        <v>Posgrado</v>
      </c>
      <c r="L822" s="98" t="s">
        <v>393</v>
      </c>
    </row>
    <row r="823" spans="3:12" ht="15.75" thickBot="1" x14ac:dyDescent="0.3">
      <c r="C823" s="172" t="s">
        <v>59</v>
      </c>
      <c r="D823" s="163"/>
      <c r="E823" s="154">
        <v>0</v>
      </c>
      <c r="F823" s="117">
        <f>IF(E821&lt;6,"",((E821-6)/12)*(G821/E821))</f>
        <v>0</v>
      </c>
      <c r="G823" s="97">
        <f>F823</f>
        <v>0</v>
      </c>
      <c r="H823" s="164"/>
      <c r="I823" s="101" t="s">
        <v>517</v>
      </c>
      <c r="J823" s="101" t="str">
        <f>VLOOKUP(I823,Presupuesto!$B$11:$C$565,2,0)</f>
        <v>DECIMOCUARTO MES</v>
      </c>
      <c r="K823" s="98" t="str">
        <f t="shared" si="29"/>
        <v>Posgrado</v>
      </c>
      <c r="L823" s="98" t="s">
        <v>393</v>
      </c>
    </row>
    <row r="824" spans="3:12" ht="15.75" thickBot="1" x14ac:dyDescent="0.3">
      <c r="C824" s="137" t="s">
        <v>489</v>
      </c>
      <c r="D824" s="199"/>
      <c r="E824" s="152">
        <v>12</v>
      </c>
      <c r="F824" s="303">
        <f>HLOOKUP($C824,$BZ$2:$CM$3,2,0)</f>
        <v>15004.09</v>
      </c>
      <c r="G824" s="113">
        <f>D824*E824*F824</f>
        <v>0</v>
      </c>
      <c r="H824" s="166"/>
      <c r="I824" s="114" t="s">
        <v>494</v>
      </c>
      <c r="J824" s="114" t="str">
        <f>VLOOKUP(I824,Presupuesto!$B$11:$C$565,2,0)</f>
        <v>SUELDOS Y SALARIOS PERMANENTES</v>
      </c>
      <c r="K824" s="98" t="str">
        <f t="shared" si="29"/>
        <v>Posgrado</v>
      </c>
      <c r="L824" s="98" t="s">
        <v>393</v>
      </c>
    </row>
    <row r="825" spans="3:12" x14ac:dyDescent="0.25">
      <c r="C825" s="171" t="s">
        <v>58</v>
      </c>
      <c r="D825" s="163"/>
      <c r="E825" s="154">
        <v>0</v>
      </c>
      <c r="F825" s="100">
        <f>IF(E824=0,"",(G824/E824)/12*E824)</f>
        <v>0</v>
      </c>
      <c r="G825" s="97">
        <f>F825</f>
        <v>0</v>
      </c>
      <c r="H825" s="164"/>
      <c r="I825" s="116" t="s">
        <v>514</v>
      </c>
      <c r="J825" s="116" t="str">
        <f>VLOOKUP(I825,Presupuesto!$B$11:$C$565,2,0)</f>
        <v>AGUINALDO Y DECIMO CUARTO MES</v>
      </c>
      <c r="K825" s="98" t="str">
        <f t="shared" si="29"/>
        <v>Posgrado</v>
      </c>
      <c r="L825" s="98" t="s">
        <v>393</v>
      </c>
    </row>
    <row r="826" spans="3:12" ht="15.75" thickBot="1" x14ac:dyDescent="0.3">
      <c r="C826" s="172" t="s">
        <v>59</v>
      </c>
      <c r="D826" s="163"/>
      <c r="E826" s="154">
        <v>0</v>
      </c>
      <c r="F826" s="117">
        <f>IF(E824&lt;6,"",((E824-6)/12)*(G824/E824))</f>
        <v>0</v>
      </c>
      <c r="G826" s="97">
        <f>F826</f>
        <v>0</v>
      </c>
      <c r="H826" s="164"/>
      <c r="I826" s="101" t="s">
        <v>517</v>
      </c>
      <c r="J826" s="101" t="str">
        <f>VLOOKUP(I826,Presupuesto!$B$11:$C$565,2,0)</f>
        <v>DECIMOCUARTO MES</v>
      </c>
      <c r="K826" s="98" t="str">
        <f t="shared" si="29"/>
        <v>Posgrado</v>
      </c>
      <c r="L826" s="98" t="s">
        <v>393</v>
      </c>
    </row>
    <row r="827" spans="3:12" ht="15.75" thickBot="1" x14ac:dyDescent="0.3">
      <c r="C827" s="137" t="s">
        <v>490</v>
      </c>
      <c r="D827" s="199"/>
      <c r="E827" s="152">
        <v>12</v>
      </c>
      <c r="F827" s="303">
        <f>HLOOKUP($C827,$BZ$2:$CM$3,2,0)</f>
        <v>13238.9</v>
      </c>
      <c r="G827" s="113">
        <f>D827*E827*F827</f>
        <v>0</v>
      </c>
      <c r="H827" s="166"/>
      <c r="I827" s="114" t="s">
        <v>494</v>
      </c>
      <c r="J827" s="114" t="str">
        <f>VLOOKUP(I827,Presupuesto!$B$11:$C$565,2,0)</f>
        <v>SUELDOS Y SALARIOS PERMANENTES</v>
      </c>
      <c r="K827" s="98" t="str">
        <f t="shared" si="29"/>
        <v>Posgrado</v>
      </c>
      <c r="L827" s="98" t="s">
        <v>393</v>
      </c>
    </row>
    <row r="828" spans="3:12" x14ac:dyDescent="0.25">
      <c r="C828" s="171" t="s">
        <v>58</v>
      </c>
      <c r="D828" s="163"/>
      <c r="E828" s="154">
        <v>0</v>
      </c>
      <c r="F828" s="100">
        <f>IF(E827=0,"",(G827/E827)/12*E827)</f>
        <v>0</v>
      </c>
      <c r="G828" s="97">
        <f>F828</f>
        <v>0</v>
      </c>
      <c r="H828" s="164"/>
      <c r="I828" s="116" t="s">
        <v>514</v>
      </c>
      <c r="J828" s="116" t="str">
        <f>VLOOKUP(I828,Presupuesto!$B$11:$C$565,2,0)</f>
        <v>AGUINALDO Y DECIMO CUARTO MES</v>
      </c>
      <c r="K828" s="98" t="str">
        <f t="shared" si="29"/>
        <v>Posgrado</v>
      </c>
      <c r="L828" s="98" t="s">
        <v>393</v>
      </c>
    </row>
    <row r="829" spans="3:12" ht="15.75" thickBot="1" x14ac:dyDescent="0.3">
      <c r="C829" s="172" t="s">
        <v>59</v>
      </c>
      <c r="D829" s="163"/>
      <c r="E829" s="154">
        <v>0</v>
      </c>
      <c r="F829" s="117">
        <f>IF(E827&lt;6,"",((E827-6)/12)*(G827/E827))</f>
        <v>0</v>
      </c>
      <c r="G829" s="97">
        <f>F829</f>
        <v>0</v>
      </c>
      <c r="H829" s="164"/>
      <c r="I829" s="101" t="s">
        <v>517</v>
      </c>
      <c r="J829" s="101" t="str">
        <f>VLOOKUP(I829,Presupuesto!$B$11:$C$565,2,0)</f>
        <v>DECIMOCUARTO MES</v>
      </c>
      <c r="K829" s="98" t="str">
        <f t="shared" si="29"/>
        <v>Posgrado</v>
      </c>
      <c r="L829" s="98" t="s">
        <v>393</v>
      </c>
    </row>
    <row r="830" spans="3:12" ht="15.75" thickBot="1" x14ac:dyDescent="0.3">
      <c r="C830" s="137" t="s">
        <v>491</v>
      </c>
      <c r="D830" s="199"/>
      <c r="E830" s="152">
        <v>12</v>
      </c>
      <c r="F830" s="303">
        <f>HLOOKUP($C830,$BZ$2:$CM$3,2,0)</f>
        <v>12356.31</v>
      </c>
      <c r="G830" s="113">
        <f>D830*E830*F830</f>
        <v>0</v>
      </c>
      <c r="H830" s="166"/>
      <c r="I830" s="114" t="s">
        <v>494</v>
      </c>
      <c r="J830" s="114" t="str">
        <f>VLOOKUP(I830,Presupuesto!$B$11:$C$565,2,0)</f>
        <v>SUELDOS Y SALARIOS PERMANENTES</v>
      </c>
      <c r="K830" s="98" t="str">
        <f t="shared" ref="K830:K847" si="30">$K$797</f>
        <v>Posgrado</v>
      </c>
      <c r="L830" s="98" t="s">
        <v>393</v>
      </c>
    </row>
    <row r="831" spans="3:12" x14ac:dyDescent="0.25">
      <c r="C831" s="171" t="s">
        <v>58</v>
      </c>
      <c r="D831" s="163"/>
      <c r="E831" s="154">
        <v>0</v>
      </c>
      <c r="F831" s="100">
        <f>IF(E830=0,"",(G830/E830)/12*E830)</f>
        <v>0</v>
      </c>
      <c r="G831" s="97">
        <f>F831</f>
        <v>0</v>
      </c>
      <c r="H831" s="164"/>
      <c r="I831" s="116" t="s">
        <v>514</v>
      </c>
      <c r="J831" s="116" t="str">
        <f>VLOOKUP(I831,Presupuesto!$B$11:$C$565,2,0)</f>
        <v>AGUINALDO Y DECIMO CUARTO MES</v>
      </c>
      <c r="K831" s="98" t="str">
        <f t="shared" si="30"/>
        <v>Posgrado</v>
      </c>
      <c r="L831" s="98" t="s">
        <v>393</v>
      </c>
    </row>
    <row r="832" spans="3:12" ht="15.75" thickBot="1" x14ac:dyDescent="0.3">
      <c r="C832" s="172" t="s">
        <v>59</v>
      </c>
      <c r="D832" s="163"/>
      <c r="E832" s="154">
        <v>0</v>
      </c>
      <c r="F832" s="117">
        <f>IF(E830&lt;6,"",((E830-6)/12)*(G830/E830))</f>
        <v>0</v>
      </c>
      <c r="G832" s="97">
        <f>F832</f>
        <v>0</v>
      </c>
      <c r="H832" s="164"/>
      <c r="I832" s="101" t="s">
        <v>517</v>
      </c>
      <c r="J832" s="101" t="str">
        <f>VLOOKUP(I832,Presupuesto!$B$11:$C$565,2,0)</f>
        <v>DECIMOCUARTO MES</v>
      </c>
      <c r="K832" s="98" t="str">
        <f t="shared" si="30"/>
        <v>Posgrado</v>
      </c>
      <c r="L832" s="98" t="s">
        <v>393</v>
      </c>
    </row>
    <row r="833" spans="3:12" ht="15.75" thickBot="1" x14ac:dyDescent="0.3">
      <c r="C833" s="137" t="s">
        <v>492</v>
      </c>
      <c r="D833" s="199"/>
      <c r="E833" s="152">
        <v>12</v>
      </c>
      <c r="F833" s="303">
        <f>HLOOKUP($C833,$BZ$2:$CM$3,2,0)</f>
        <v>463.22</v>
      </c>
      <c r="G833" s="113">
        <f>D833*E833*F833</f>
        <v>0</v>
      </c>
      <c r="H833" s="166"/>
      <c r="I833" s="114" t="s">
        <v>494</v>
      </c>
      <c r="J833" s="114" t="str">
        <f>VLOOKUP(I833,Presupuesto!$B$11:$C$565,2,0)</f>
        <v>SUELDOS Y SALARIOS PERMANENTES</v>
      </c>
      <c r="K833" s="98" t="str">
        <f t="shared" si="30"/>
        <v>Posgrado</v>
      </c>
      <c r="L833" s="98" t="s">
        <v>393</v>
      </c>
    </row>
    <row r="834" spans="3:12" x14ac:dyDescent="0.25">
      <c r="C834" s="171" t="s">
        <v>58</v>
      </c>
      <c r="D834" s="163"/>
      <c r="E834" s="154">
        <v>0</v>
      </c>
      <c r="F834" s="100">
        <f>IF(E833=0,"",(G833/E833)/12*E833)</f>
        <v>0</v>
      </c>
      <c r="G834" s="97">
        <f>F834</f>
        <v>0</v>
      </c>
      <c r="H834" s="164"/>
      <c r="I834" s="116" t="s">
        <v>514</v>
      </c>
      <c r="J834" s="116" t="str">
        <f>VLOOKUP(I834,Presupuesto!$B$11:$C$565,2,0)</f>
        <v>AGUINALDO Y DECIMO CUARTO MES</v>
      </c>
      <c r="K834" s="98" t="str">
        <f t="shared" si="30"/>
        <v>Posgrado</v>
      </c>
      <c r="L834" s="98" t="s">
        <v>393</v>
      </c>
    </row>
    <row r="835" spans="3:12" ht="15.75" thickBot="1" x14ac:dyDescent="0.3">
      <c r="C835" s="172" t="s">
        <v>59</v>
      </c>
      <c r="D835" s="163"/>
      <c r="E835" s="154">
        <v>0</v>
      </c>
      <c r="F835" s="117">
        <f>IF(E833&lt;6,"",((E833-6)/12)*(G833/E833))</f>
        <v>0</v>
      </c>
      <c r="G835" s="97">
        <f>F835</f>
        <v>0</v>
      </c>
      <c r="H835" s="164"/>
      <c r="I835" s="101" t="s">
        <v>517</v>
      </c>
      <c r="J835" s="101" t="str">
        <f>VLOOKUP(I835,Presupuesto!$B$11:$C$565,2,0)</f>
        <v>DECIMOCUARTO MES</v>
      </c>
      <c r="K835" s="98" t="str">
        <f t="shared" si="30"/>
        <v>Posgrado</v>
      </c>
      <c r="L835" s="98" t="s">
        <v>393</v>
      </c>
    </row>
    <row r="836" spans="3:12" ht="15.75" thickBot="1" x14ac:dyDescent="0.3">
      <c r="C836" s="137" t="s">
        <v>493</v>
      </c>
      <c r="D836" s="199"/>
      <c r="E836" s="152">
        <v>12</v>
      </c>
      <c r="F836" s="303">
        <f>HLOOKUP($C836,$BZ$2:$CM$3,2,0)</f>
        <v>2007.3</v>
      </c>
      <c r="G836" s="113">
        <f>D836*E836*F836</f>
        <v>0</v>
      </c>
      <c r="H836" s="166"/>
      <c r="I836" s="114" t="s">
        <v>494</v>
      </c>
      <c r="J836" s="114" t="str">
        <f>VLOOKUP(I836,Presupuesto!$B$11:$C$565,2,0)</f>
        <v>SUELDOS Y SALARIOS PERMANENTES</v>
      </c>
      <c r="K836" s="98" t="str">
        <f t="shared" si="30"/>
        <v>Posgrado</v>
      </c>
      <c r="L836" s="98" t="s">
        <v>393</v>
      </c>
    </row>
    <row r="837" spans="3:12" x14ac:dyDescent="0.25">
      <c r="C837" s="171" t="s">
        <v>58</v>
      </c>
      <c r="D837" s="163"/>
      <c r="E837" s="154">
        <v>0</v>
      </c>
      <c r="F837" s="100">
        <f>IF(E836=0,"",(G836/E836)/12*E836)</f>
        <v>0</v>
      </c>
      <c r="G837" s="97">
        <f>F837</f>
        <v>0</v>
      </c>
      <c r="H837" s="164"/>
      <c r="I837" s="116" t="s">
        <v>514</v>
      </c>
      <c r="J837" s="116" t="str">
        <f>VLOOKUP(I837,Presupuesto!$B$11:$C$565,2,0)</f>
        <v>AGUINALDO Y DECIMO CUARTO MES</v>
      </c>
      <c r="K837" s="98" t="str">
        <f t="shared" si="30"/>
        <v>Posgrado</v>
      </c>
      <c r="L837" s="98" t="s">
        <v>393</v>
      </c>
    </row>
    <row r="838" spans="3:12" ht="15.75" thickBot="1" x14ac:dyDescent="0.3">
      <c r="C838" s="172" t="s">
        <v>59</v>
      </c>
      <c r="D838" s="163"/>
      <c r="E838" s="154">
        <v>0</v>
      </c>
      <c r="F838" s="117">
        <f>IF(E836&lt;6,"",((E836-6)/12)*(G836/E836))</f>
        <v>0</v>
      </c>
      <c r="G838" s="97">
        <f>F838</f>
        <v>0</v>
      </c>
      <c r="H838" s="164"/>
      <c r="I838" s="101" t="s">
        <v>517</v>
      </c>
      <c r="J838" s="101" t="str">
        <f>VLOOKUP(I838,Presupuesto!$B$11:$C$565,2,0)</f>
        <v>DECIMOCUARTO MES</v>
      </c>
      <c r="K838" s="98" t="str">
        <f t="shared" si="30"/>
        <v>Posgrado</v>
      </c>
      <c r="L838" s="98" t="s">
        <v>393</v>
      </c>
    </row>
    <row r="839" spans="3:12" ht="15.75" thickBot="1" x14ac:dyDescent="0.3">
      <c r="C839" s="140" t="s">
        <v>83</v>
      </c>
      <c r="D839" s="199"/>
      <c r="E839" s="152">
        <v>12</v>
      </c>
      <c r="F839" s="139">
        <v>30000</v>
      </c>
      <c r="G839" s="113">
        <f>D839*E839*F839</f>
        <v>0</v>
      </c>
      <c r="H839" s="166"/>
      <c r="I839" s="114" t="s">
        <v>562</v>
      </c>
      <c r="J839" s="114" t="str">
        <f>VLOOKUP(I839,Presupuesto!$B$11:$C$565,2,0)</f>
        <v>CONTRATOS ESPECIALES</v>
      </c>
      <c r="K839" s="98" t="str">
        <f t="shared" si="30"/>
        <v>Posgrado</v>
      </c>
      <c r="L839" s="98" t="s">
        <v>393</v>
      </c>
    </row>
    <row r="840" spans="3:12" x14ac:dyDescent="0.25">
      <c r="C840" s="171" t="s">
        <v>58</v>
      </c>
      <c r="D840" s="163"/>
      <c r="E840" s="154">
        <v>0</v>
      </c>
      <c r="F840" s="117">
        <f>IF(E839=0,"",(G839/E839)/12*E839)</f>
        <v>0</v>
      </c>
      <c r="G840" s="97">
        <f>F840</f>
        <v>0</v>
      </c>
      <c r="H840" s="164"/>
      <c r="I840" s="101" t="s">
        <v>562</v>
      </c>
      <c r="J840" s="101" t="str">
        <f>VLOOKUP(I840,Presupuesto!$B$11:$C$565,2,0)</f>
        <v>CONTRATOS ESPECIALES</v>
      </c>
      <c r="K840" s="98" t="str">
        <f t="shared" si="30"/>
        <v>Posgrado</v>
      </c>
      <c r="L840" s="98" t="s">
        <v>392</v>
      </c>
    </row>
    <row r="841" spans="3:12" ht="15.75" thickBot="1" x14ac:dyDescent="0.3">
      <c r="C841" s="172" t="s">
        <v>59</v>
      </c>
      <c r="D841" s="163"/>
      <c r="E841" s="154">
        <v>0</v>
      </c>
      <c r="F841" s="100">
        <f>IF(E839&lt;6,"",((E839-6)/12)*(G839/E839))</f>
        <v>0</v>
      </c>
      <c r="G841" s="97">
        <f>F841</f>
        <v>0</v>
      </c>
      <c r="H841" s="164"/>
      <c r="I841" s="101" t="s">
        <v>562</v>
      </c>
      <c r="J841" s="101" t="str">
        <f>VLOOKUP(I841,Presupuesto!$B$11:$C$565,2,0)</f>
        <v>CONTRATOS ESPECIALES</v>
      </c>
      <c r="K841" s="98" t="str">
        <f t="shared" si="30"/>
        <v>Posgrado</v>
      </c>
      <c r="L841" s="98" t="s">
        <v>397</v>
      </c>
    </row>
    <row r="842" spans="3:12" ht="15.75" thickBot="1" x14ac:dyDescent="0.3">
      <c r="C842" s="140" t="s">
        <v>60</v>
      </c>
      <c r="D842" s="199"/>
      <c r="E842" s="152">
        <v>12</v>
      </c>
      <c r="F842" s="118">
        <v>30000</v>
      </c>
      <c r="G842" s="113">
        <f>D842*E842*F842</f>
        <v>0</v>
      </c>
      <c r="H842" s="166"/>
      <c r="I842" s="114" t="s">
        <v>703</v>
      </c>
      <c r="J842" s="114" t="str">
        <f>VLOOKUP(I842,Presupuesto!$B$11:$C$565,2,0)</f>
        <v>OTROS SERVICIOS TECNICOS Y PROFESIONALES</v>
      </c>
      <c r="K842" s="98" t="str">
        <f t="shared" si="30"/>
        <v>Posgrado</v>
      </c>
      <c r="L842" s="98" t="s">
        <v>392</v>
      </c>
    </row>
    <row r="843" spans="3:12" x14ac:dyDescent="0.25">
      <c r="C843" s="171" t="s">
        <v>58</v>
      </c>
      <c r="D843" s="163"/>
      <c r="E843" s="154">
        <v>0</v>
      </c>
      <c r="F843" s="100">
        <v>0</v>
      </c>
      <c r="G843" s="97">
        <f>F843</f>
        <v>0</v>
      </c>
      <c r="H843" s="164"/>
      <c r="I843" s="101" t="s">
        <v>703</v>
      </c>
      <c r="J843" s="101" t="str">
        <f>VLOOKUP(I843,Presupuesto!$B$11:$C$565,2,0)</f>
        <v>OTROS SERVICIOS TECNICOS Y PROFESIONALES</v>
      </c>
      <c r="K843" s="98" t="str">
        <f t="shared" si="30"/>
        <v>Posgrado</v>
      </c>
      <c r="L843" s="98" t="s">
        <v>392</v>
      </c>
    </row>
    <row r="844" spans="3:12" ht="15.75" thickBot="1" x14ac:dyDescent="0.3">
      <c r="C844" s="172" t="s">
        <v>59</v>
      </c>
      <c r="D844" s="163"/>
      <c r="E844" s="154">
        <v>0</v>
      </c>
      <c r="F844" s="100">
        <v>0</v>
      </c>
      <c r="G844" s="97">
        <f>F844</f>
        <v>0</v>
      </c>
      <c r="H844" s="164"/>
      <c r="I844" s="101" t="s">
        <v>703</v>
      </c>
      <c r="J844" s="101" t="str">
        <f>VLOOKUP(I844,Presupuesto!$B$11:$C$565,2,0)</f>
        <v>OTROS SERVICIOS TECNICOS Y PROFESIONALES</v>
      </c>
      <c r="K844" s="98" t="str">
        <f t="shared" si="30"/>
        <v>Posgrado</v>
      </c>
      <c r="L844" s="98" t="s">
        <v>392</v>
      </c>
    </row>
    <row r="845" spans="3:12" ht="15.75" thickBot="1" x14ac:dyDescent="0.3">
      <c r="C845" s="140" t="s">
        <v>61</v>
      </c>
      <c r="D845" s="199"/>
      <c r="E845" s="152">
        <v>12</v>
      </c>
      <c r="F845" s="118">
        <v>30000</v>
      </c>
      <c r="G845" s="113">
        <f>D845*E845*F845</f>
        <v>0</v>
      </c>
      <c r="H845" s="166"/>
      <c r="I845" s="114" t="s">
        <v>494</v>
      </c>
      <c r="J845" s="114" t="str">
        <f>VLOOKUP(I845,Presupuesto!$B$11:$C$565,2,0)</f>
        <v>SUELDOS Y SALARIOS PERMANENTES</v>
      </c>
      <c r="K845" s="98" t="str">
        <f t="shared" si="30"/>
        <v>Posgrado</v>
      </c>
      <c r="L845" s="98" t="s">
        <v>392</v>
      </c>
    </row>
    <row r="846" spans="3:12" x14ac:dyDescent="0.25">
      <c r="C846" s="171" t="s">
        <v>58</v>
      </c>
      <c r="D846" s="169"/>
      <c r="E846" s="131">
        <v>0</v>
      </c>
      <c r="F846" s="119">
        <f>IF(E845=0,"",(G845/E845)/12*E845)</f>
        <v>0</v>
      </c>
      <c r="G846" s="120">
        <f>F846</f>
        <v>0</v>
      </c>
      <c r="H846" s="164"/>
      <c r="I846" s="101" t="s">
        <v>514</v>
      </c>
      <c r="J846" s="101" t="str">
        <f>VLOOKUP(I846,Presupuesto!$B$11:$C$565,2,0)</f>
        <v>AGUINALDO Y DECIMO CUARTO MES</v>
      </c>
      <c r="K846" s="98" t="str">
        <f t="shared" si="30"/>
        <v>Posgrado</v>
      </c>
      <c r="L846" s="98" t="s">
        <v>392</v>
      </c>
    </row>
    <row r="847" spans="3:12" ht="15.75" thickBot="1" x14ac:dyDescent="0.3">
      <c r="C847" s="173" t="s">
        <v>59</v>
      </c>
      <c r="D847" s="162"/>
      <c r="E847" s="132">
        <v>0</v>
      </c>
      <c r="F847" s="105">
        <f>IF(E845&lt;6,"",((E845-6)/12)*(G845/E845))</f>
        <v>0</v>
      </c>
      <c r="G847" s="105">
        <f>F847</f>
        <v>0</v>
      </c>
      <c r="H847" s="162"/>
      <c r="I847" s="106" t="s">
        <v>517</v>
      </c>
      <c r="J847" s="124" t="str">
        <f>VLOOKUP(I847,Presupuesto!$B$11:$C$565,2,0)</f>
        <v>DECIMOCUARTO MES</v>
      </c>
      <c r="K847" s="106" t="str">
        <f t="shared" si="30"/>
        <v>Posgrado</v>
      </c>
      <c r="L847" s="124" t="s">
        <v>392</v>
      </c>
    </row>
    <row r="849" spans="3:12" ht="15.75" thickBot="1" x14ac:dyDescent="0.3"/>
    <row r="850" spans="3:12" ht="15.75" thickBot="1" x14ac:dyDescent="0.3">
      <c r="C850" s="69" t="s">
        <v>43</v>
      </c>
      <c r="D850" s="30">
        <f>SUM(G857:G907)</f>
        <v>0</v>
      </c>
      <c r="E850" s="93"/>
      <c r="F850" s="93"/>
      <c r="G850" s="93"/>
      <c r="H850" s="76"/>
      <c r="I850" s="76"/>
      <c r="J850" s="76"/>
    </row>
    <row r="851" spans="3:12" x14ac:dyDescent="0.25">
      <c r="D851" s="31"/>
      <c r="E851" s="93"/>
      <c r="F851" s="93"/>
      <c r="G851" s="93"/>
      <c r="H851" s="76"/>
      <c r="I851" s="76"/>
      <c r="J851" s="76"/>
    </row>
    <row r="852" spans="3:12" x14ac:dyDescent="0.25">
      <c r="D852" s="31"/>
      <c r="E852" s="93"/>
      <c r="F852" s="93"/>
      <c r="G852" s="93"/>
      <c r="H852" s="76"/>
      <c r="I852" s="76"/>
      <c r="J852" s="76"/>
    </row>
    <row r="853" spans="3:12" ht="15.75" x14ac:dyDescent="0.25">
      <c r="C853" s="202" t="s">
        <v>390</v>
      </c>
      <c r="D853" s="368"/>
      <c r="E853" s="93"/>
      <c r="F853" s="93"/>
      <c r="G853" s="93"/>
      <c r="H853" s="76"/>
      <c r="I853" s="76"/>
      <c r="J853" s="76"/>
    </row>
    <row r="854" spans="3:12" ht="18.75" x14ac:dyDescent="0.25">
      <c r="C854" s="210" t="e">
        <f>IFERROR(VLOOKUP(D853,'1. Desarrollo e Innov. Curricu.'!$F:$G,2,FALSE),IFERROR(VLOOKUP(D853,'2. Investigación Científica'!$F:$G,2,FALSE),IFERROR(VLOOKUP(D853,'3. Vinculación Univ. Sociedad'!$F:$G,2,FALSE),IFERROR(VLOOKUP(D853,'4. Docencia y Profesorado Univ.'!$F:$G,2,FALSE),IFERROR(VLOOKUP(D853,'5. Estudiantes y Graduados'!$F:$G,2,FALSE),IFERROR(VLOOKUP(D853,'11. Gestion Administrativa'!$F:$G,2,FALSE),IFERROR(VLOOKUP(D853,'13. Gestión Académica'!$F:$G,2,FALSE),IFERROR(VLOOKUP(D853,'9. Asegura. de la Calid. y M'!$F:$G,2,FALSE),IFERROR(VLOOKUP(D853,'6. Gestión del Conocimiento'!$F:$G,2,FALSE),IFERROR(VLOOKUP(D853,'15. Gobernabilidad y Proceso...'!$G:$H,2,FALSE),IFERROR(VLOOKUP(D853,'12. Gestión del Talento Humano'!$F:$G,2,FALSE),IFERROR(VLOOKUP(D853,'14. Internacional... de la E.S.'!$F:$G,2,FALSE),IFERROR(VLOOKUP(D853,'10. Posgrado'!$F:$G,2,FALSE),IFERROR(VLOOKUP(D853,'17. Gestión TIC'!$F:$G,2,FALSE),IFERROR(VLOOKUP(D853,'16. Desa. del Sistema Educ.Sup.'!$F:$G,2,FALSE),IFERROR(VLOOKUP(D853,'8. Cultura de Inno. Insti...'!$F:$G,2,FALSE),VLOOKUP(D853,'7. Lo Esencial de la Reforma U.'!$G:$H,2,0)))))))))))))))))</f>
        <v>#N/A</v>
      </c>
      <c r="D854" s="31"/>
      <c r="E854" s="93"/>
      <c r="F854" s="93"/>
      <c r="G854" s="93"/>
      <c r="H854" s="76"/>
      <c r="I854" s="76"/>
      <c r="J854" s="76"/>
      <c r="K854" s="153"/>
    </row>
    <row r="855" spans="3:12" ht="15.75" thickBot="1" x14ac:dyDescent="0.3">
      <c r="C855" s="177"/>
      <c r="D855" s="31"/>
      <c r="E855" s="93"/>
      <c r="F855" s="93"/>
      <c r="G855" s="93"/>
      <c r="H855" s="76"/>
      <c r="I855" s="76"/>
      <c r="J855" s="76"/>
      <c r="K855" s="153"/>
    </row>
    <row r="856" spans="3:12" ht="30.75" thickBot="1" x14ac:dyDescent="0.3">
      <c r="C856" s="134" t="s">
        <v>44</v>
      </c>
      <c r="D856" s="138" t="s">
        <v>55</v>
      </c>
      <c r="E856" s="170" t="s">
        <v>56</v>
      </c>
      <c r="F856" s="138" t="s">
        <v>57</v>
      </c>
      <c r="G856" s="135" t="s">
        <v>27</v>
      </c>
      <c r="H856" s="133" t="s">
        <v>129</v>
      </c>
      <c r="I856" s="136" t="s">
        <v>46</v>
      </c>
      <c r="J856" s="136" t="s">
        <v>130</v>
      </c>
      <c r="K856" s="136" t="s">
        <v>408</v>
      </c>
      <c r="L856" s="136" t="s">
        <v>409</v>
      </c>
    </row>
    <row r="857" spans="3:12" ht="15.75" thickBot="1" x14ac:dyDescent="0.3">
      <c r="C857" s="137" t="s">
        <v>480</v>
      </c>
      <c r="D857" s="199"/>
      <c r="E857" s="152">
        <v>12</v>
      </c>
      <c r="F857" s="303">
        <f>HLOOKUP($C857,$BZ$2:$CM$3,2,0)</f>
        <v>43674.39</v>
      </c>
      <c r="G857" s="113">
        <f>D857*E857*F857</f>
        <v>0</v>
      </c>
      <c r="H857" s="166"/>
      <c r="I857" s="114" t="s">
        <v>494</v>
      </c>
      <c r="J857" s="114" t="str">
        <f>VLOOKUP(I857,Presupuesto!$B$11:$C$565,2,0)</f>
        <v>SUELDOS Y SALARIOS PERMANENTES</v>
      </c>
      <c r="K857" s="218" t="s">
        <v>1443</v>
      </c>
      <c r="L857" s="98" t="s">
        <v>392</v>
      </c>
    </row>
    <row r="858" spans="3:12" x14ac:dyDescent="0.25">
      <c r="C858" s="171" t="s">
        <v>58</v>
      </c>
      <c r="D858" s="163"/>
      <c r="E858" s="154">
        <v>0</v>
      </c>
      <c r="F858" s="100">
        <f>IF(E857=0,"",(G857/E857)/12*E857)</f>
        <v>0</v>
      </c>
      <c r="G858" s="97">
        <f>F858</f>
        <v>0</v>
      </c>
      <c r="H858" s="164"/>
      <c r="I858" s="116" t="s">
        <v>514</v>
      </c>
      <c r="J858" s="116" t="str">
        <f>VLOOKUP(I858,Presupuesto!$B$11:$C$565,2,0)</f>
        <v>AGUINALDO Y DECIMO CUARTO MES</v>
      </c>
      <c r="K858" s="98" t="str">
        <f t="shared" ref="K858:K889" si="31">$K$857</f>
        <v>Posgrado</v>
      </c>
      <c r="L858" s="98" t="s">
        <v>410</v>
      </c>
    </row>
    <row r="859" spans="3:12" ht="15.75" thickBot="1" x14ac:dyDescent="0.3">
      <c r="C859" s="172" t="s">
        <v>59</v>
      </c>
      <c r="D859" s="163"/>
      <c r="E859" s="154">
        <v>0</v>
      </c>
      <c r="F859" s="117">
        <f>IF(E857&lt;6,"",((E857-6)/12)*(G857/E857))</f>
        <v>0</v>
      </c>
      <c r="G859" s="97">
        <f>F859</f>
        <v>0</v>
      </c>
      <c r="H859" s="164"/>
      <c r="I859" s="101" t="s">
        <v>517</v>
      </c>
      <c r="J859" s="101" t="str">
        <f>VLOOKUP(I859,Presupuesto!$B$11:$C$565,2,0)</f>
        <v>DECIMOCUARTO MES</v>
      </c>
      <c r="K859" s="98" t="str">
        <f t="shared" si="31"/>
        <v>Posgrado</v>
      </c>
      <c r="L859" s="98" t="s">
        <v>393</v>
      </c>
    </row>
    <row r="860" spans="3:12" ht="15.75" thickBot="1" x14ac:dyDescent="0.3">
      <c r="C860" s="137" t="s">
        <v>481</v>
      </c>
      <c r="D860" s="199"/>
      <c r="E860" s="152">
        <v>12</v>
      </c>
      <c r="F860" s="303">
        <f>HLOOKUP($C860,$BZ$2:$CM$3,2,0)</f>
        <v>39703.99</v>
      </c>
      <c r="G860" s="113">
        <f>D860*E860*F860</f>
        <v>0</v>
      </c>
      <c r="H860" s="166"/>
      <c r="I860" s="114" t="s">
        <v>494</v>
      </c>
      <c r="J860" s="114" t="str">
        <f>VLOOKUP(I860,Presupuesto!$B$11:$C$565,2,0)</f>
        <v>SUELDOS Y SALARIOS PERMANENTES</v>
      </c>
      <c r="K860" s="98" t="str">
        <f t="shared" si="31"/>
        <v>Posgrado</v>
      </c>
      <c r="L860" s="98" t="s">
        <v>393</v>
      </c>
    </row>
    <row r="861" spans="3:12" x14ac:dyDescent="0.25">
      <c r="C861" s="171" t="s">
        <v>58</v>
      </c>
      <c r="D861" s="163"/>
      <c r="E861" s="154">
        <v>0</v>
      </c>
      <c r="F861" s="100">
        <f>IF(E860=0,"",(G860/E860)/12*E860)</f>
        <v>0</v>
      </c>
      <c r="G861" s="97">
        <f>F861</f>
        <v>0</v>
      </c>
      <c r="H861" s="164"/>
      <c r="I861" s="116" t="s">
        <v>514</v>
      </c>
      <c r="J861" s="116" t="str">
        <f>VLOOKUP(I861,Presupuesto!$B$11:$C$565,2,0)</f>
        <v>AGUINALDO Y DECIMO CUARTO MES</v>
      </c>
      <c r="K861" s="98" t="str">
        <f t="shared" si="31"/>
        <v>Posgrado</v>
      </c>
      <c r="L861" s="98" t="s">
        <v>393</v>
      </c>
    </row>
    <row r="862" spans="3:12" ht="15.75" thickBot="1" x14ac:dyDescent="0.3">
      <c r="C862" s="172" t="s">
        <v>59</v>
      </c>
      <c r="D862" s="163"/>
      <c r="E862" s="154">
        <v>0</v>
      </c>
      <c r="F862" s="117">
        <f>IF(E860&lt;6,"",((E860-6)/12)*(G860/E860))</f>
        <v>0</v>
      </c>
      <c r="G862" s="97">
        <f>F862</f>
        <v>0</v>
      </c>
      <c r="H862" s="164"/>
      <c r="I862" s="101" t="s">
        <v>517</v>
      </c>
      <c r="J862" s="101" t="str">
        <f>VLOOKUP(I862,Presupuesto!$B$11:$C$565,2,0)</f>
        <v>DECIMOCUARTO MES</v>
      </c>
      <c r="K862" s="98" t="str">
        <f t="shared" si="31"/>
        <v>Posgrado</v>
      </c>
      <c r="L862" s="98" t="s">
        <v>393</v>
      </c>
    </row>
    <row r="863" spans="3:12" ht="15.75" thickBot="1" x14ac:dyDescent="0.3">
      <c r="C863" s="137" t="s">
        <v>482</v>
      </c>
      <c r="D863" s="199"/>
      <c r="E863" s="152">
        <v>12</v>
      </c>
      <c r="F863" s="303">
        <f>HLOOKUP($C863,$BZ$2:$CM$3,2,0)</f>
        <v>35733.589999999997</v>
      </c>
      <c r="G863" s="113">
        <f>D863*E863*F863</f>
        <v>0</v>
      </c>
      <c r="H863" s="166"/>
      <c r="I863" s="114" t="s">
        <v>494</v>
      </c>
      <c r="J863" s="114" t="str">
        <f>VLOOKUP(I863,Presupuesto!$B$11:$C$565,2,0)</f>
        <v>SUELDOS Y SALARIOS PERMANENTES</v>
      </c>
      <c r="K863" s="98" t="str">
        <f t="shared" si="31"/>
        <v>Posgrado</v>
      </c>
      <c r="L863" s="98" t="s">
        <v>393</v>
      </c>
    </row>
    <row r="864" spans="3:12" x14ac:dyDescent="0.25">
      <c r="C864" s="171" t="s">
        <v>58</v>
      </c>
      <c r="D864" s="163"/>
      <c r="E864" s="154">
        <v>0</v>
      </c>
      <c r="F864" s="100">
        <f>IF(E863=0,"",(G863/E863)/12*E863)</f>
        <v>0</v>
      </c>
      <c r="G864" s="97">
        <f>F864</f>
        <v>0</v>
      </c>
      <c r="H864" s="164"/>
      <c r="I864" s="116" t="s">
        <v>514</v>
      </c>
      <c r="J864" s="116" t="str">
        <f>VLOOKUP(I864,Presupuesto!$B$11:$C$565,2,0)</f>
        <v>AGUINALDO Y DECIMO CUARTO MES</v>
      </c>
      <c r="K864" s="98" t="str">
        <f t="shared" si="31"/>
        <v>Posgrado</v>
      </c>
      <c r="L864" s="98" t="s">
        <v>393</v>
      </c>
    </row>
    <row r="865" spans="3:12" ht="15.75" thickBot="1" x14ac:dyDescent="0.3">
      <c r="C865" s="172" t="s">
        <v>59</v>
      </c>
      <c r="D865" s="163"/>
      <c r="E865" s="154">
        <v>0</v>
      </c>
      <c r="F865" s="117">
        <f>IF(E863&lt;6,"",((E863-6)/12)*(G863/E863))</f>
        <v>0</v>
      </c>
      <c r="G865" s="97">
        <f>F865</f>
        <v>0</v>
      </c>
      <c r="H865" s="164"/>
      <c r="I865" s="101" t="s">
        <v>517</v>
      </c>
      <c r="J865" s="101" t="str">
        <f>VLOOKUP(I865,Presupuesto!$B$11:$C$565,2,0)</f>
        <v>DECIMOCUARTO MES</v>
      </c>
      <c r="K865" s="98" t="str">
        <f t="shared" si="31"/>
        <v>Posgrado</v>
      </c>
      <c r="L865" s="98" t="s">
        <v>393</v>
      </c>
    </row>
    <row r="866" spans="3:12" ht="15.75" thickBot="1" x14ac:dyDescent="0.3">
      <c r="C866" s="137" t="s">
        <v>483</v>
      </c>
      <c r="D866" s="199"/>
      <c r="E866" s="152">
        <v>12</v>
      </c>
      <c r="F866" s="303">
        <f>HLOOKUP($C866,$BZ$2:$CM$3,2,0)</f>
        <v>31763.19</v>
      </c>
      <c r="G866" s="113">
        <f>D866*E866*F866</f>
        <v>0</v>
      </c>
      <c r="H866" s="166"/>
      <c r="I866" s="114" t="s">
        <v>494</v>
      </c>
      <c r="J866" s="114" t="str">
        <f>VLOOKUP(I866,Presupuesto!$B$11:$C$565,2,0)</f>
        <v>SUELDOS Y SALARIOS PERMANENTES</v>
      </c>
      <c r="K866" s="98" t="str">
        <f t="shared" si="31"/>
        <v>Posgrado</v>
      </c>
      <c r="L866" s="98" t="s">
        <v>393</v>
      </c>
    </row>
    <row r="867" spans="3:12" x14ac:dyDescent="0.25">
      <c r="C867" s="171" t="s">
        <v>58</v>
      </c>
      <c r="D867" s="163"/>
      <c r="E867" s="154">
        <v>0</v>
      </c>
      <c r="F867" s="100">
        <f>IF(E866=0,"",(G866/E866)/12*E866)</f>
        <v>0</v>
      </c>
      <c r="G867" s="97">
        <f>F867</f>
        <v>0</v>
      </c>
      <c r="H867" s="164"/>
      <c r="I867" s="116" t="s">
        <v>514</v>
      </c>
      <c r="J867" s="116" t="str">
        <f>VLOOKUP(I867,Presupuesto!$B$11:$C$565,2,0)</f>
        <v>AGUINALDO Y DECIMO CUARTO MES</v>
      </c>
      <c r="K867" s="98" t="str">
        <f t="shared" si="31"/>
        <v>Posgrado</v>
      </c>
      <c r="L867" s="98" t="s">
        <v>393</v>
      </c>
    </row>
    <row r="868" spans="3:12" ht="15.75" thickBot="1" x14ac:dyDescent="0.3">
      <c r="C868" s="172" t="s">
        <v>59</v>
      </c>
      <c r="D868" s="163"/>
      <c r="E868" s="154">
        <v>0</v>
      </c>
      <c r="F868" s="117">
        <f>IF(E866&lt;6,"",((E866-6)/12)*(G866/E866))</f>
        <v>0</v>
      </c>
      <c r="G868" s="97">
        <f>F868</f>
        <v>0</v>
      </c>
      <c r="H868" s="164"/>
      <c r="I868" s="101" t="s">
        <v>517</v>
      </c>
      <c r="J868" s="101" t="str">
        <f>VLOOKUP(I868,Presupuesto!$B$11:$C$565,2,0)</f>
        <v>DECIMOCUARTO MES</v>
      </c>
      <c r="K868" s="98" t="str">
        <f t="shared" si="31"/>
        <v>Posgrado</v>
      </c>
      <c r="L868" s="98" t="s">
        <v>393</v>
      </c>
    </row>
    <row r="869" spans="3:12" ht="15.75" thickBot="1" x14ac:dyDescent="0.3">
      <c r="C869" s="137" t="s">
        <v>484</v>
      </c>
      <c r="D869" s="199"/>
      <c r="E869" s="152">
        <v>12</v>
      </c>
      <c r="F869" s="303">
        <f>HLOOKUP($C869,$BZ$2:$CM$3,2,0)</f>
        <v>29777.99</v>
      </c>
      <c r="G869" s="113">
        <f>D869*E869*F869</f>
        <v>0</v>
      </c>
      <c r="H869" s="166"/>
      <c r="I869" s="114" t="s">
        <v>494</v>
      </c>
      <c r="J869" s="114" t="str">
        <f>VLOOKUP(I869,Presupuesto!$B$11:$C$565,2,0)</f>
        <v>SUELDOS Y SALARIOS PERMANENTES</v>
      </c>
      <c r="K869" s="98" t="str">
        <f t="shared" si="31"/>
        <v>Posgrado</v>
      </c>
      <c r="L869" s="98" t="s">
        <v>393</v>
      </c>
    </row>
    <row r="870" spans="3:12" x14ac:dyDescent="0.25">
      <c r="C870" s="171" t="s">
        <v>58</v>
      </c>
      <c r="D870" s="163"/>
      <c r="E870" s="154">
        <v>0</v>
      </c>
      <c r="F870" s="100">
        <f>IF(E869=0,"",(G869/E869)/12*E869)</f>
        <v>0</v>
      </c>
      <c r="G870" s="97">
        <f>F870</f>
        <v>0</v>
      </c>
      <c r="H870" s="164"/>
      <c r="I870" s="116" t="s">
        <v>514</v>
      </c>
      <c r="J870" s="116" t="str">
        <f>VLOOKUP(I870,Presupuesto!$B$11:$C$565,2,0)</f>
        <v>AGUINALDO Y DECIMO CUARTO MES</v>
      </c>
      <c r="K870" s="98" t="str">
        <f t="shared" si="31"/>
        <v>Posgrado</v>
      </c>
      <c r="L870" s="98" t="s">
        <v>393</v>
      </c>
    </row>
    <row r="871" spans="3:12" ht="15.75" thickBot="1" x14ac:dyDescent="0.3">
      <c r="C871" s="172" t="s">
        <v>59</v>
      </c>
      <c r="D871" s="163"/>
      <c r="E871" s="154">
        <v>0</v>
      </c>
      <c r="F871" s="117">
        <f>IF(E869&lt;6,"",((E869-6)/12)*(G869/E869))</f>
        <v>0</v>
      </c>
      <c r="G871" s="97">
        <f>F871</f>
        <v>0</v>
      </c>
      <c r="H871" s="164"/>
      <c r="I871" s="101" t="s">
        <v>517</v>
      </c>
      <c r="J871" s="101" t="str">
        <f>VLOOKUP(I871,Presupuesto!$B$11:$C$565,2,0)</f>
        <v>DECIMOCUARTO MES</v>
      </c>
      <c r="K871" s="98" t="str">
        <f t="shared" si="31"/>
        <v>Posgrado</v>
      </c>
      <c r="L871" s="98" t="s">
        <v>393</v>
      </c>
    </row>
    <row r="872" spans="3:12" ht="15.75" thickBot="1" x14ac:dyDescent="0.3">
      <c r="C872" s="137" t="s">
        <v>485</v>
      </c>
      <c r="D872" s="199"/>
      <c r="E872" s="152">
        <v>12</v>
      </c>
      <c r="F872" s="303">
        <f>HLOOKUP($C872,$BZ$2:$CM$3,2,0)</f>
        <v>27792.79</v>
      </c>
      <c r="G872" s="113">
        <f>D872*E872*F872</f>
        <v>0</v>
      </c>
      <c r="H872" s="166"/>
      <c r="I872" s="114" t="s">
        <v>494</v>
      </c>
      <c r="J872" s="114" t="str">
        <f>VLOOKUP(I872,Presupuesto!$B$11:$C$565,2,0)</f>
        <v>SUELDOS Y SALARIOS PERMANENTES</v>
      </c>
      <c r="K872" s="98" t="str">
        <f t="shared" si="31"/>
        <v>Posgrado</v>
      </c>
      <c r="L872" s="98" t="s">
        <v>393</v>
      </c>
    </row>
    <row r="873" spans="3:12" x14ac:dyDescent="0.25">
      <c r="C873" s="171" t="s">
        <v>58</v>
      </c>
      <c r="D873" s="163"/>
      <c r="E873" s="154">
        <v>0</v>
      </c>
      <c r="F873" s="100">
        <f>IF(E872=0,"",(G872/E872)/12*E872)</f>
        <v>0</v>
      </c>
      <c r="G873" s="97">
        <f>F873</f>
        <v>0</v>
      </c>
      <c r="H873" s="164"/>
      <c r="I873" s="116" t="s">
        <v>514</v>
      </c>
      <c r="J873" s="116" t="str">
        <f>VLOOKUP(I873,Presupuesto!$B$11:$C$565,2,0)</f>
        <v>AGUINALDO Y DECIMO CUARTO MES</v>
      </c>
      <c r="K873" s="98" t="str">
        <f t="shared" si="31"/>
        <v>Posgrado</v>
      </c>
      <c r="L873" s="98" t="s">
        <v>393</v>
      </c>
    </row>
    <row r="874" spans="3:12" ht="15.75" thickBot="1" x14ac:dyDescent="0.3">
      <c r="C874" s="172" t="s">
        <v>59</v>
      </c>
      <c r="D874" s="163"/>
      <c r="E874" s="154">
        <v>0</v>
      </c>
      <c r="F874" s="117">
        <f>IF(E872&lt;6,"",((E872-6)/12)*(G872/E872))</f>
        <v>0</v>
      </c>
      <c r="G874" s="97">
        <f>F874</f>
        <v>0</v>
      </c>
      <c r="H874" s="164"/>
      <c r="I874" s="101" t="s">
        <v>517</v>
      </c>
      <c r="J874" s="101" t="str">
        <f>VLOOKUP(I874,Presupuesto!$B$11:$C$565,2,0)</f>
        <v>DECIMOCUARTO MES</v>
      </c>
      <c r="K874" s="98" t="str">
        <f t="shared" si="31"/>
        <v>Posgrado</v>
      </c>
      <c r="L874" s="98" t="s">
        <v>393</v>
      </c>
    </row>
    <row r="875" spans="3:12" ht="15.75" thickBot="1" x14ac:dyDescent="0.3">
      <c r="C875" s="137" t="s">
        <v>486</v>
      </c>
      <c r="D875" s="199"/>
      <c r="E875" s="152">
        <v>12</v>
      </c>
      <c r="F875" s="303">
        <f>HLOOKUP($C875,$BZ$2:$CM$3,2,0)</f>
        <v>18859.39</v>
      </c>
      <c r="G875" s="113">
        <f>D875*E875*F875</f>
        <v>0</v>
      </c>
      <c r="H875" s="166"/>
      <c r="I875" s="114" t="s">
        <v>494</v>
      </c>
      <c r="J875" s="114" t="str">
        <f>VLOOKUP(I875,Presupuesto!$B$11:$C$565,2,0)</f>
        <v>SUELDOS Y SALARIOS PERMANENTES</v>
      </c>
      <c r="K875" s="98" t="str">
        <f t="shared" si="31"/>
        <v>Posgrado</v>
      </c>
      <c r="L875" s="98" t="s">
        <v>393</v>
      </c>
    </row>
    <row r="876" spans="3:12" x14ac:dyDescent="0.25">
      <c r="C876" s="171" t="s">
        <v>58</v>
      </c>
      <c r="D876" s="163"/>
      <c r="E876" s="154">
        <v>0</v>
      </c>
      <c r="F876" s="100">
        <f>IF(E875=0,"",(G875/E875)/12*E875)</f>
        <v>0</v>
      </c>
      <c r="G876" s="97">
        <f>F876</f>
        <v>0</v>
      </c>
      <c r="H876" s="164"/>
      <c r="I876" s="116" t="s">
        <v>514</v>
      </c>
      <c r="J876" s="116" t="str">
        <f>VLOOKUP(I876,Presupuesto!$B$11:$C$565,2,0)</f>
        <v>AGUINALDO Y DECIMO CUARTO MES</v>
      </c>
      <c r="K876" s="98" t="str">
        <f t="shared" si="31"/>
        <v>Posgrado</v>
      </c>
      <c r="L876" s="98" t="s">
        <v>393</v>
      </c>
    </row>
    <row r="877" spans="3:12" ht="15.75" thickBot="1" x14ac:dyDescent="0.3">
      <c r="C877" s="172" t="s">
        <v>59</v>
      </c>
      <c r="D877" s="163"/>
      <c r="E877" s="154">
        <v>0</v>
      </c>
      <c r="F877" s="117">
        <f>IF(E875&lt;6,"",((E875-6)/12)*(G875/E875))</f>
        <v>0</v>
      </c>
      <c r="G877" s="97">
        <f>F877</f>
        <v>0</v>
      </c>
      <c r="H877" s="164"/>
      <c r="I877" s="101" t="s">
        <v>517</v>
      </c>
      <c r="J877" s="101" t="str">
        <f>VLOOKUP(I877,Presupuesto!$B$11:$C$565,2,0)</f>
        <v>DECIMOCUARTO MES</v>
      </c>
      <c r="K877" s="98" t="str">
        <f t="shared" si="31"/>
        <v>Posgrado</v>
      </c>
      <c r="L877" s="98" t="s">
        <v>393</v>
      </c>
    </row>
    <row r="878" spans="3:12" ht="15.75" thickBot="1" x14ac:dyDescent="0.3">
      <c r="C878" s="137" t="s">
        <v>487</v>
      </c>
      <c r="D878" s="199"/>
      <c r="E878" s="152">
        <v>12</v>
      </c>
      <c r="F878" s="303">
        <f>HLOOKUP($C878,$BZ$2:$CM$3,2,0)</f>
        <v>17866.8</v>
      </c>
      <c r="G878" s="113">
        <f>D878*E878*F878</f>
        <v>0</v>
      </c>
      <c r="H878" s="166"/>
      <c r="I878" s="114" t="s">
        <v>494</v>
      </c>
      <c r="J878" s="114" t="str">
        <f>VLOOKUP(I878,Presupuesto!$B$11:$C$565,2,0)</f>
        <v>SUELDOS Y SALARIOS PERMANENTES</v>
      </c>
      <c r="K878" s="98" t="str">
        <f t="shared" si="31"/>
        <v>Posgrado</v>
      </c>
      <c r="L878" s="98" t="s">
        <v>393</v>
      </c>
    </row>
    <row r="879" spans="3:12" x14ac:dyDescent="0.25">
      <c r="C879" s="171" t="s">
        <v>58</v>
      </c>
      <c r="D879" s="163"/>
      <c r="E879" s="154">
        <v>0</v>
      </c>
      <c r="F879" s="100">
        <f>IF(E878=0,"",(G878/E878)/12*E878)</f>
        <v>0</v>
      </c>
      <c r="G879" s="97">
        <f>F879</f>
        <v>0</v>
      </c>
      <c r="H879" s="164"/>
      <c r="I879" s="116" t="s">
        <v>514</v>
      </c>
      <c r="J879" s="116" t="str">
        <f>VLOOKUP(I879,Presupuesto!$B$11:$C$565,2,0)</f>
        <v>AGUINALDO Y DECIMO CUARTO MES</v>
      </c>
      <c r="K879" s="98" t="str">
        <f t="shared" si="31"/>
        <v>Posgrado</v>
      </c>
      <c r="L879" s="98" t="s">
        <v>393</v>
      </c>
    </row>
    <row r="880" spans="3:12" ht="15.75" thickBot="1" x14ac:dyDescent="0.3">
      <c r="C880" s="172" t="s">
        <v>59</v>
      </c>
      <c r="D880" s="163"/>
      <c r="E880" s="154">
        <v>0</v>
      </c>
      <c r="F880" s="117">
        <f>IF(E878&lt;6,"",((E878-6)/12)*(G878/E878))</f>
        <v>0</v>
      </c>
      <c r="G880" s="97">
        <f>F880</f>
        <v>0</v>
      </c>
      <c r="H880" s="164"/>
      <c r="I880" s="101" t="s">
        <v>517</v>
      </c>
      <c r="J880" s="101" t="str">
        <f>VLOOKUP(I880,Presupuesto!$B$11:$C$565,2,0)</f>
        <v>DECIMOCUARTO MES</v>
      </c>
      <c r="K880" s="98" t="str">
        <f t="shared" si="31"/>
        <v>Posgrado</v>
      </c>
      <c r="L880" s="98" t="s">
        <v>393</v>
      </c>
    </row>
    <row r="881" spans="3:12" ht="15.75" thickBot="1" x14ac:dyDescent="0.3">
      <c r="C881" s="137" t="s">
        <v>488</v>
      </c>
      <c r="D881" s="199"/>
      <c r="E881" s="152">
        <v>12</v>
      </c>
      <c r="F881" s="303">
        <f>HLOOKUP($C881,$BZ$2:$CM$3,2,0)</f>
        <v>13896.4</v>
      </c>
      <c r="G881" s="113">
        <f>D881*E881*F881</f>
        <v>0</v>
      </c>
      <c r="H881" s="166"/>
      <c r="I881" s="114" t="s">
        <v>494</v>
      </c>
      <c r="J881" s="114" t="str">
        <f>VLOOKUP(I881,Presupuesto!$B$11:$C$565,2,0)</f>
        <v>SUELDOS Y SALARIOS PERMANENTES</v>
      </c>
      <c r="K881" s="98" t="str">
        <f t="shared" si="31"/>
        <v>Posgrado</v>
      </c>
      <c r="L881" s="98" t="s">
        <v>393</v>
      </c>
    </row>
    <row r="882" spans="3:12" x14ac:dyDescent="0.25">
      <c r="C882" s="171" t="s">
        <v>58</v>
      </c>
      <c r="D882" s="163"/>
      <c r="E882" s="154">
        <v>0</v>
      </c>
      <c r="F882" s="100">
        <f>IF(E881=0,"",(G881/E881)/12*E881)</f>
        <v>0</v>
      </c>
      <c r="G882" s="97">
        <f>F882</f>
        <v>0</v>
      </c>
      <c r="H882" s="164"/>
      <c r="I882" s="116" t="s">
        <v>514</v>
      </c>
      <c r="J882" s="116" t="str">
        <f>VLOOKUP(I882,Presupuesto!$B$11:$C$565,2,0)</f>
        <v>AGUINALDO Y DECIMO CUARTO MES</v>
      </c>
      <c r="K882" s="98" t="str">
        <f t="shared" si="31"/>
        <v>Posgrado</v>
      </c>
      <c r="L882" s="98" t="s">
        <v>393</v>
      </c>
    </row>
    <row r="883" spans="3:12" ht="15.75" thickBot="1" x14ac:dyDescent="0.3">
      <c r="C883" s="172" t="s">
        <v>59</v>
      </c>
      <c r="D883" s="163"/>
      <c r="E883" s="154">
        <v>0</v>
      </c>
      <c r="F883" s="117">
        <f>IF(E881&lt;6,"",((E881-6)/12)*(G881/E881))</f>
        <v>0</v>
      </c>
      <c r="G883" s="97">
        <f>F883</f>
        <v>0</v>
      </c>
      <c r="H883" s="164"/>
      <c r="I883" s="101" t="s">
        <v>517</v>
      </c>
      <c r="J883" s="101" t="str">
        <f>VLOOKUP(I883,Presupuesto!$B$11:$C$565,2,0)</f>
        <v>DECIMOCUARTO MES</v>
      </c>
      <c r="K883" s="98" t="str">
        <f t="shared" si="31"/>
        <v>Posgrado</v>
      </c>
      <c r="L883" s="98" t="s">
        <v>393</v>
      </c>
    </row>
    <row r="884" spans="3:12" ht="15.75" thickBot="1" x14ac:dyDescent="0.3">
      <c r="C884" s="137" t="s">
        <v>489</v>
      </c>
      <c r="D884" s="199"/>
      <c r="E884" s="152">
        <v>12</v>
      </c>
      <c r="F884" s="303">
        <f>HLOOKUP($C884,$BZ$2:$CM$3,2,0)</f>
        <v>15004.09</v>
      </c>
      <c r="G884" s="113">
        <f>D884*E884*F884</f>
        <v>0</v>
      </c>
      <c r="H884" s="166"/>
      <c r="I884" s="114" t="s">
        <v>494</v>
      </c>
      <c r="J884" s="114" t="str">
        <f>VLOOKUP(I884,Presupuesto!$B$11:$C$565,2,0)</f>
        <v>SUELDOS Y SALARIOS PERMANENTES</v>
      </c>
      <c r="K884" s="98" t="str">
        <f t="shared" si="31"/>
        <v>Posgrado</v>
      </c>
      <c r="L884" s="98" t="s">
        <v>393</v>
      </c>
    </row>
    <row r="885" spans="3:12" x14ac:dyDescent="0.25">
      <c r="C885" s="171" t="s">
        <v>58</v>
      </c>
      <c r="D885" s="163"/>
      <c r="E885" s="154">
        <v>0</v>
      </c>
      <c r="F885" s="100">
        <f>IF(E884=0,"",(G884/E884)/12*E884)</f>
        <v>0</v>
      </c>
      <c r="G885" s="97">
        <f>F885</f>
        <v>0</v>
      </c>
      <c r="H885" s="164"/>
      <c r="I885" s="116" t="s">
        <v>514</v>
      </c>
      <c r="J885" s="116" t="str">
        <f>VLOOKUP(I885,Presupuesto!$B$11:$C$565,2,0)</f>
        <v>AGUINALDO Y DECIMO CUARTO MES</v>
      </c>
      <c r="K885" s="98" t="str">
        <f t="shared" si="31"/>
        <v>Posgrado</v>
      </c>
      <c r="L885" s="98" t="s">
        <v>393</v>
      </c>
    </row>
    <row r="886" spans="3:12" ht="15.75" thickBot="1" x14ac:dyDescent="0.3">
      <c r="C886" s="172" t="s">
        <v>59</v>
      </c>
      <c r="D886" s="163"/>
      <c r="E886" s="154">
        <v>0</v>
      </c>
      <c r="F886" s="117">
        <f>IF(E884&lt;6,"",((E884-6)/12)*(G884/E884))</f>
        <v>0</v>
      </c>
      <c r="G886" s="97">
        <f>F886</f>
        <v>0</v>
      </c>
      <c r="H886" s="164"/>
      <c r="I886" s="101" t="s">
        <v>517</v>
      </c>
      <c r="J886" s="101" t="str">
        <f>VLOOKUP(I886,Presupuesto!$B$11:$C$565,2,0)</f>
        <v>DECIMOCUARTO MES</v>
      </c>
      <c r="K886" s="98" t="str">
        <f t="shared" si="31"/>
        <v>Posgrado</v>
      </c>
      <c r="L886" s="98" t="s">
        <v>393</v>
      </c>
    </row>
    <row r="887" spans="3:12" ht="15.75" thickBot="1" x14ac:dyDescent="0.3">
      <c r="C887" s="137" t="s">
        <v>490</v>
      </c>
      <c r="D887" s="199"/>
      <c r="E887" s="152">
        <v>12</v>
      </c>
      <c r="F887" s="303">
        <f>HLOOKUP($C887,$BZ$2:$CM$3,2,0)</f>
        <v>13238.9</v>
      </c>
      <c r="G887" s="113">
        <f>D887*E887*F887</f>
        <v>0</v>
      </c>
      <c r="H887" s="166"/>
      <c r="I887" s="114" t="s">
        <v>494</v>
      </c>
      <c r="J887" s="114" t="str">
        <f>VLOOKUP(I887,Presupuesto!$B$11:$C$565,2,0)</f>
        <v>SUELDOS Y SALARIOS PERMANENTES</v>
      </c>
      <c r="K887" s="98" t="str">
        <f t="shared" si="31"/>
        <v>Posgrado</v>
      </c>
      <c r="L887" s="98" t="s">
        <v>393</v>
      </c>
    </row>
    <row r="888" spans="3:12" x14ac:dyDescent="0.25">
      <c r="C888" s="171" t="s">
        <v>58</v>
      </c>
      <c r="D888" s="163"/>
      <c r="E888" s="154">
        <v>0</v>
      </c>
      <c r="F888" s="100">
        <f>IF(E887=0,"",(G887/E887)/12*E887)</f>
        <v>0</v>
      </c>
      <c r="G888" s="97">
        <f>F888</f>
        <v>0</v>
      </c>
      <c r="H888" s="164"/>
      <c r="I888" s="116" t="s">
        <v>514</v>
      </c>
      <c r="J888" s="116" t="str">
        <f>VLOOKUP(I888,Presupuesto!$B$11:$C$565,2,0)</f>
        <v>AGUINALDO Y DECIMO CUARTO MES</v>
      </c>
      <c r="K888" s="98" t="str">
        <f t="shared" si="31"/>
        <v>Posgrado</v>
      </c>
      <c r="L888" s="98" t="s">
        <v>393</v>
      </c>
    </row>
    <row r="889" spans="3:12" ht="15.75" thickBot="1" x14ac:dyDescent="0.3">
      <c r="C889" s="172" t="s">
        <v>59</v>
      </c>
      <c r="D889" s="163"/>
      <c r="E889" s="154">
        <v>0</v>
      </c>
      <c r="F889" s="117">
        <f>IF(E887&lt;6,"",((E887-6)/12)*(G887/E887))</f>
        <v>0</v>
      </c>
      <c r="G889" s="97">
        <f>F889</f>
        <v>0</v>
      </c>
      <c r="H889" s="164"/>
      <c r="I889" s="101" t="s">
        <v>517</v>
      </c>
      <c r="J889" s="101" t="str">
        <f>VLOOKUP(I889,Presupuesto!$B$11:$C$565,2,0)</f>
        <v>DECIMOCUARTO MES</v>
      </c>
      <c r="K889" s="98" t="str">
        <f t="shared" si="31"/>
        <v>Posgrado</v>
      </c>
      <c r="L889" s="98" t="s">
        <v>393</v>
      </c>
    </row>
    <row r="890" spans="3:12" ht="15.75" thickBot="1" x14ac:dyDescent="0.3">
      <c r="C890" s="137" t="s">
        <v>491</v>
      </c>
      <c r="D890" s="199"/>
      <c r="E890" s="152">
        <v>12</v>
      </c>
      <c r="F890" s="303">
        <f>HLOOKUP($C890,$BZ$2:$CM$3,2,0)</f>
        <v>12356.31</v>
      </c>
      <c r="G890" s="113">
        <f>D890*E890*F890</f>
        <v>0</v>
      </c>
      <c r="H890" s="166"/>
      <c r="I890" s="114" t="s">
        <v>494</v>
      </c>
      <c r="J890" s="114" t="str">
        <f>VLOOKUP(I890,Presupuesto!$B$11:$C$565,2,0)</f>
        <v>SUELDOS Y SALARIOS PERMANENTES</v>
      </c>
      <c r="K890" s="98" t="str">
        <f t="shared" ref="K890:K907" si="32">$K$857</f>
        <v>Posgrado</v>
      </c>
      <c r="L890" s="98" t="s">
        <v>393</v>
      </c>
    </row>
    <row r="891" spans="3:12" x14ac:dyDescent="0.25">
      <c r="C891" s="171" t="s">
        <v>58</v>
      </c>
      <c r="D891" s="163"/>
      <c r="E891" s="154">
        <v>0</v>
      </c>
      <c r="F891" s="100">
        <f>IF(E890=0,"",(G890/E890)/12*E890)</f>
        <v>0</v>
      </c>
      <c r="G891" s="97">
        <f>F891</f>
        <v>0</v>
      </c>
      <c r="H891" s="164"/>
      <c r="I891" s="116" t="s">
        <v>514</v>
      </c>
      <c r="J891" s="116" t="str">
        <f>VLOOKUP(I891,Presupuesto!$B$11:$C$565,2,0)</f>
        <v>AGUINALDO Y DECIMO CUARTO MES</v>
      </c>
      <c r="K891" s="98" t="str">
        <f t="shared" si="32"/>
        <v>Posgrado</v>
      </c>
      <c r="L891" s="98" t="s">
        <v>393</v>
      </c>
    </row>
    <row r="892" spans="3:12" ht="15.75" thickBot="1" x14ac:dyDescent="0.3">
      <c r="C892" s="172" t="s">
        <v>59</v>
      </c>
      <c r="D892" s="163"/>
      <c r="E892" s="154">
        <v>0</v>
      </c>
      <c r="F892" s="117">
        <f>IF(E890&lt;6,"",((E890-6)/12)*(G890/E890))</f>
        <v>0</v>
      </c>
      <c r="G892" s="97">
        <f>F892</f>
        <v>0</v>
      </c>
      <c r="H892" s="164"/>
      <c r="I892" s="101" t="s">
        <v>517</v>
      </c>
      <c r="J892" s="101" t="str">
        <f>VLOOKUP(I892,Presupuesto!$B$11:$C$565,2,0)</f>
        <v>DECIMOCUARTO MES</v>
      </c>
      <c r="K892" s="98" t="str">
        <f t="shared" si="32"/>
        <v>Posgrado</v>
      </c>
      <c r="L892" s="98" t="s">
        <v>393</v>
      </c>
    </row>
    <row r="893" spans="3:12" ht="15.75" thickBot="1" x14ac:dyDescent="0.3">
      <c r="C893" s="137" t="s">
        <v>492</v>
      </c>
      <c r="D893" s="199"/>
      <c r="E893" s="152">
        <v>12</v>
      </c>
      <c r="F893" s="303">
        <f>HLOOKUP($C893,$BZ$2:$CM$3,2,0)</f>
        <v>463.22</v>
      </c>
      <c r="G893" s="113">
        <f>D893*E893*F893</f>
        <v>0</v>
      </c>
      <c r="H893" s="166"/>
      <c r="I893" s="114" t="s">
        <v>494</v>
      </c>
      <c r="J893" s="114" t="str">
        <f>VLOOKUP(I893,Presupuesto!$B$11:$C$565,2,0)</f>
        <v>SUELDOS Y SALARIOS PERMANENTES</v>
      </c>
      <c r="K893" s="98" t="str">
        <f t="shared" si="32"/>
        <v>Posgrado</v>
      </c>
      <c r="L893" s="98" t="s">
        <v>393</v>
      </c>
    </row>
    <row r="894" spans="3:12" x14ac:dyDescent="0.25">
      <c r="C894" s="171" t="s">
        <v>58</v>
      </c>
      <c r="D894" s="163"/>
      <c r="E894" s="154">
        <v>0</v>
      </c>
      <c r="F894" s="100">
        <f>IF(E893=0,"",(G893/E893)/12*E893)</f>
        <v>0</v>
      </c>
      <c r="G894" s="97">
        <f>F894</f>
        <v>0</v>
      </c>
      <c r="H894" s="164"/>
      <c r="I894" s="116" t="s">
        <v>514</v>
      </c>
      <c r="J894" s="116" t="str">
        <f>VLOOKUP(I894,Presupuesto!$B$11:$C$565,2,0)</f>
        <v>AGUINALDO Y DECIMO CUARTO MES</v>
      </c>
      <c r="K894" s="98" t="str">
        <f t="shared" si="32"/>
        <v>Posgrado</v>
      </c>
      <c r="L894" s="98" t="s">
        <v>393</v>
      </c>
    </row>
    <row r="895" spans="3:12" ht="15.75" thickBot="1" x14ac:dyDescent="0.3">
      <c r="C895" s="172" t="s">
        <v>59</v>
      </c>
      <c r="D895" s="163"/>
      <c r="E895" s="154">
        <v>0</v>
      </c>
      <c r="F895" s="117">
        <f>IF(E893&lt;6,"",((E893-6)/12)*(G893/E893))</f>
        <v>0</v>
      </c>
      <c r="G895" s="97">
        <f>F895</f>
        <v>0</v>
      </c>
      <c r="H895" s="164"/>
      <c r="I895" s="101" t="s">
        <v>517</v>
      </c>
      <c r="J895" s="101" t="str">
        <f>VLOOKUP(I895,Presupuesto!$B$11:$C$565,2,0)</f>
        <v>DECIMOCUARTO MES</v>
      </c>
      <c r="K895" s="98" t="str">
        <f t="shared" si="32"/>
        <v>Posgrado</v>
      </c>
      <c r="L895" s="98" t="s">
        <v>393</v>
      </c>
    </row>
    <row r="896" spans="3:12" ht="15.75" thickBot="1" x14ac:dyDescent="0.3">
      <c r="C896" s="137" t="s">
        <v>493</v>
      </c>
      <c r="D896" s="199"/>
      <c r="E896" s="152">
        <v>12</v>
      </c>
      <c r="F896" s="303">
        <f>HLOOKUP($C896,$BZ$2:$CM$3,2,0)</f>
        <v>2007.3</v>
      </c>
      <c r="G896" s="113">
        <f>D896*E896*F896</f>
        <v>0</v>
      </c>
      <c r="H896" s="166"/>
      <c r="I896" s="114" t="s">
        <v>494</v>
      </c>
      <c r="J896" s="114" t="str">
        <f>VLOOKUP(I896,Presupuesto!$B$11:$C$565,2,0)</f>
        <v>SUELDOS Y SALARIOS PERMANENTES</v>
      </c>
      <c r="K896" s="98" t="str">
        <f t="shared" si="32"/>
        <v>Posgrado</v>
      </c>
      <c r="L896" s="98" t="s">
        <v>393</v>
      </c>
    </row>
    <row r="897" spans="3:12" x14ac:dyDescent="0.25">
      <c r="C897" s="171" t="s">
        <v>58</v>
      </c>
      <c r="D897" s="163"/>
      <c r="E897" s="154">
        <v>0</v>
      </c>
      <c r="F897" s="100">
        <f>IF(E896=0,"",(G896/E896)/12*E896)</f>
        <v>0</v>
      </c>
      <c r="G897" s="97">
        <f>F897</f>
        <v>0</v>
      </c>
      <c r="H897" s="164"/>
      <c r="I897" s="116" t="s">
        <v>514</v>
      </c>
      <c r="J897" s="116" t="str">
        <f>VLOOKUP(I897,Presupuesto!$B$11:$C$565,2,0)</f>
        <v>AGUINALDO Y DECIMO CUARTO MES</v>
      </c>
      <c r="K897" s="98" t="str">
        <f t="shared" si="32"/>
        <v>Posgrado</v>
      </c>
      <c r="L897" s="98" t="s">
        <v>393</v>
      </c>
    </row>
    <row r="898" spans="3:12" ht="15.75" thickBot="1" x14ac:dyDescent="0.3">
      <c r="C898" s="172" t="s">
        <v>59</v>
      </c>
      <c r="D898" s="163"/>
      <c r="E898" s="154">
        <v>0</v>
      </c>
      <c r="F898" s="117">
        <f>IF(E896&lt;6,"",((E896-6)/12)*(G896/E896))</f>
        <v>0</v>
      </c>
      <c r="G898" s="97">
        <f>F898</f>
        <v>0</v>
      </c>
      <c r="H898" s="164"/>
      <c r="I898" s="101" t="s">
        <v>517</v>
      </c>
      <c r="J898" s="101" t="str">
        <f>VLOOKUP(I898,Presupuesto!$B$11:$C$565,2,0)</f>
        <v>DECIMOCUARTO MES</v>
      </c>
      <c r="K898" s="98" t="str">
        <f t="shared" si="32"/>
        <v>Posgrado</v>
      </c>
      <c r="L898" s="98" t="s">
        <v>393</v>
      </c>
    </row>
    <row r="899" spans="3:12" ht="15.75" thickBot="1" x14ac:dyDescent="0.3">
      <c r="C899" s="140" t="s">
        <v>83</v>
      </c>
      <c r="D899" s="199"/>
      <c r="E899" s="152">
        <v>12</v>
      </c>
      <c r="F899" s="139">
        <v>30000</v>
      </c>
      <c r="G899" s="113">
        <f>D899*E899*F899</f>
        <v>0</v>
      </c>
      <c r="H899" s="166"/>
      <c r="I899" s="114" t="s">
        <v>562</v>
      </c>
      <c r="J899" s="114" t="str">
        <f>VLOOKUP(I899,Presupuesto!$B$11:$C$565,2,0)</f>
        <v>CONTRATOS ESPECIALES</v>
      </c>
      <c r="K899" s="98" t="str">
        <f t="shared" si="32"/>
        <v>Posgrado</v>
      </c>
      <c r="L899" s="98" t="s">
        <v>393</v>
      </c>
    </row>
    <row r="900" spans="3:12" x14ac:dyDescent="0.25">
      <c r="C900" s="171" t="s">
        <v>58</v>
      </c>
      <c r="D900" s="163"/>
      <c r="E900" s="154">
        <v>0</v>
      </c>
      <c r="F900" s="117">
        <f>IF(E899=0,"",(G899/E899)/12*E899)</f>
        <v>0</v>
      </c>
      <c r="G900" s="97">
        <f>F900</f>
        <v>0</v>
      </c>
      <c r="H900" s="164"/>
      <c r="I900" s="101" t="s">
        <v>562</v>
      </c>
      <c r="J900" s="101" t="str">
        <f>VLOOKUP(I900,Presupuesto!$B$11:$C$565,2,0)</f>
        <v>CONTRATOS ESPECIALES</v>
      </c>
      <c r="K900" s="98" t="str">
        <f t="shared" si="32"/>
        <v>Posgrado</v>
      </c>
      <c r="L900" s="98" t="s">
        <v>392</v>
      </c>
    </row>
    <row r="901" spans="3:12" ht="15.75" thickBot="1" x14ac:dyDescent="0.3">
      <c r="C901" s="172" t="s">
        <v>59</v>
      </c>
      <c r="D901" s="163"/>
      <c r="E901" s="154">
        <v>0</v>
      </c>
      <c r="F901" s="100">
        <f>IF(E899&lt;6,"",((E899-6)/12)*(G899/E899))</f>
        <v>0</v>
      </c>
      <c r="G901" s="97">
        <f>F901</f>
        <v>0</v>
      </c>
      <c r="H901" s="164"/>
      <c r="I901" s="101" t="s">
        <v>562</v>
      </c>
      <c r="J901" s="101" t="str">
        <f>VLOOKUP(I901,Presupuesto!$B$11:$C$565,2,0)</f>
        <v>CONTRATOS ESPECIALES</v>
      </c>
      <c r="K901" s="98" t="str">
        <f t="shared" si="32"/>
        <v>Posgrado</v>
      </c>
      <c r="L901" s="98" t="s">
        <v>397</v>
      </c>
    </row>
    <row r="902" spans="3:12" ht="15.75" thickBot="1" x14ac:dyDescent="0.3">
      <c r="C902" s="140" t="s">
        <v>60</v>
      </c>
      <c r="D902" s="199"/>
      <c r="E902" s="152">
        <v>12</v>
      </c>
      <c r="F902" s="118">
        <v>30000</v>
      </c>
      <c r="G902" s="113">
        <f>D902*E902*F902</f>
        <v>0</v>
      </c>
      <c r="H902" s="166"/>
      <c r="I902" s="114" t="s">
        <v>703</v>
      </c>
      <c r="J902" s="114" t="str">
        <f>VLOOKUP(I902,Presupuesto!$B$11:$C$565,2,0)</f>
        <v>OTROS SERVICIOS TECNICOS Y PROFESIONALES</v>
      </c>
      <c r="K902" s="98" t="str">
        <f t="shared" si="32"/>
        <v>Posgrado</v>
      </c>
      <c r="L902" s="98" t="s">
        <v>392</v>
      </c>
    </row>
    <row r="903" spans="3:12" x14ac:dyDescent="0.25">
      <c r="C903" s="171" t="s">
        <v>58</v>
      </c>
      <c r="D903" s="163"/>
      <c r="E903" s="154">
        <v>0</v>
      </c>
      <c r="F903" s="100">
        <v>0</v>
      </c>
      <c r="G903" s="97">
        <f>F903</f>
        <v>0</v>
      </c>
      <c r="H903" s="164"/>
      <c r="I903" s="101" t="s">
        <v>703</v>
      </c>
      <c r="J903" s="101" t="str">
        <f>VLOOKUP(I903,Presupuesto!$B$11:$C$565,2,0)</f>
        <v>OTROS SERVICIOS TECNICOS Y PROFESIONALES</v>
      </c>
      <c r="K903" s="98" t="str">
        <f t="shared" si="32"/>
        <v>Posgrado</v>
      </c>
      <c r="L903" s="98" t="s">
        <v>392</v>
      </c>
    </row>
    <row r="904" spans="3:12" ht="15.75" thickBot="1" x14ac:dyDescent="0.3">
      <c r="C904" s="172" t="s">
        <v>59</v>
      </c>
      <c r="D904" s="163"/>
      <c r="E904" s="154">
        <v>0</v>
      </c>
      <c r="F904" s="100">
        <v>0</v>
      </c>
      <c r="G904" s="97">
        <f>F904</f>
        <v>0</v>
      </c>
      <c r="H904" s="164"/>
      <c r="I904" s="101" t="s">
        <v>703</v>
      </c>
      <c r="J904" s="101" t="str">
        <f>VLOOKUP(I904,Presupuesto!$B$11:$C$565,2,0)</f>
        <v>OTROS SERVICIOS TECNICOS Y PROFESIONALES</v>
      </c>
      <c r="K904" s="98" t="str">
        <f t="shared" si="32"/>
        <v>Posgrado</v>
      </c>
      <c r="L904" s="98" t="s">
        <v>392</v>
      </c>
    </row>
    <row r="905" spans="3:12" ht="15.75" thickBot="1" x14ac:dyDescent="0.3">
      <c r="C905" s="140" t="s">
        <v>61</v>
      </c>
      <c r="D905" s="199"/>
      <c r="E905" s="152">
        <v>12</v>
      </c>
      <c r="F905" s="118">
        <v>30000</v>
      </c>
      <c r="G905" s="113">
        <f>D905*E905*F905</f>
        <v>0</v>
      </c>
      <c r="H905" s="166"/>
      <c r="I905" s="114" t="s">
        <v>494</v>
      </c>
      <c r="J905" s="114" t="str">
        <f>VLOOKUP(I905,Presupuesto!$B$11:$C$565,2,0)</f>
        <v>SUELDOS Y SALARIOS PERMANENTES</v>
      </c>
      <c r="K905" s="98" t="str">
        <f t="shared" si="32"/>
        <v>Posgrado</v>
      </c>
      <c r="L905" s="98" t="s">
        <v>392</v>
      </c>
    </row>
    <row r="906" spans="3:12" x14ac:dyDescent="0.25">
      <c r="C906" s="171" t="s">
        <v>58</v>
      </c>
      <c r="D906" s="169"/>
      <c r="E906" s="131">
        <v>0</v>
      </c>
      <c r="F906" s="119">
        <f>IF(E905=0,"",(G905/E905)/12*E905)</f>
        <v>0</v>
      </c>
      <c r="G906" s="120">
        <f>F906</f>
        <v>0</v>
      </c>
      <c r="H906" s="164"/>
      <c r="I906" s="101" t="s">
        <v>514</v>
      </c>
      <c r="J906" s="101" t="str">
        <f>VLOOKUP(I906,Presupuesto!$B$11:$C$565,2,0)</f>
        <v>AGUINALDO Y DECIMO CUARTO MES</v>
      </c>
      <c r="K906" s="98" t="str">
        <f t="shared" si="32"/>
        <v>Posgrado</v>
      </c>
      <c r="L906" s="98" t="s">
        <v>392</v>
      </c>
    </row>
    <row r="907" spans="3:12" ht="15.75" thickBot="1" x14ac:dyDescent="0.3">
      <c r="C907" s="173" t="s">
        <v>59</v>
      </c>
      <c r="D907" s="162"/>
      <c r="E907" s="132">
        <v>0</v>
      </c>
      <c r="F907" s="105">
        <f>IF(E905&lt;6,"",((E905-6)/12)*(G905/E905))</f>
        <v>0</v>
      </c>
      <c r="G907" s="105">
        <f>F907</f>
        <v>0</v>
      </c>
      <c r="H907" s="162"/>
      <c r="I907" s="106" t="s">
        <v>517</v>
      </c>
      <c r="J907" s="124" t="str">
        <f>VLOOKUP(I907,Presupuesto!$B$11:$C$565,2,0)</f>
        <v>DECIMOCUARTO MES</v>
      </c>
      <c r="K907" s="106" t="str">
        <f t="shared" si="32"/>
        <v>Posgrado</v>
      </c>
      <c r="L907" s="124" t="s">
        <v>392</v>
      </c>
    </row>
    <row r="909" spans="3:12" ht="15.75" thickBot="1" x14ac:dyDescent="0.3"/>
    <row r="910" spans="3:12" ht="15.75" thickBot="1" x14ac:dyDescent="0.3">
      <c r="C910" s="69" t="s">
        <v>43</v>
      </c>
      <c r="D910" s="30">
        <f>SUM(G917:G967)</f>
        <v>0</v>
      </c>
      <c r="E910" s="93"/>
      <c r="F910" s="93"/>
      <c r="G910" s="93"/>
      <c r="H910" s="76"/>
      <c r="I910" s="76"/>
      <c r="J910" s="76"/>
    </row>
    <row r="911" spans="3:12" x14ac:dyDescent="0.25">
      <c r="D911" s="31"/>
      <c r="E911" s="93"/>
      <c r="F911" s="93"/>
      <c r="G911" s="93"/>
      <c r="H911" s="76"/>
      <c r="I911" s="76"/>
      <c r="J911" s="76"/>
    </row>
    <row r="912" spans="3:12" x14ac:dyDescent="0.25">
      <c r="D912" s="31"/>
      <c r="E912" s="93"/>
      <c r="F912" s="93"/>
      <c r="G912" s="93"/>
      <c r="H912" s="76"/>
      <c r="I912" s="76"/>
      <c r="J912" s="76"/>
    </row>
    <row r="913" spans="3:12" ht="15.75" x14ac:dyDescent="0.25">
      <c r="C913" s="202" t="s">
        <v>390</v>
      </c>
      <c r="D913" s="368"/>
      <c r="E913" s="93"/>
      <c r="F913" s="93"/>
      <c r="G913" s="93"/>
      <c r="H913" s="76"/>
      <c r="I913" s="76"/>
      <c r="J913" s="76"/>
    </row>
    <row r="914" spans="3:12" ht="18.75" x14ac:dyDescent="0.25">
      <c r="C914" s="210" t="e">
        <f>IFERROR(VLOOKUP(D913,'1. Desarrollo e Innov. Curricu.'!$F:$G,2,FALSE),IFERROR(VLOOKUP(D913,'2. Investigación Científica'!$F:$G,2,FALSE),IFERROR(VLOOKUP(D913,'3. Vinculación Univ. Sociedad'!$F:$G,2,FALSE),IFERROR(VLOOKUP(D913,'4. Docencia y Profesorado Univ.'!$F:$G,2,FALSE),IFERROR(VLOOKUP(D913,'5. Estudiantes y Graduados'!$F:$G,2,FALSE),IFERROR(VLOOKUP(D913,'11. Gestion Administrativa'!$F:$G,2,FALSE),IFERROR(VLOOKUP(D913,'13. Gestión Académica'!$F:$G,2,FALSE),IFERROR(VLOOKUP(D913,'9. Asegura. de la Calid. y M'!$F:$G,2,FALSE),IFERROR(VLOOKUP(D913,'6. Gestión del Conocimiento'!$F:$G,2,FALSE),IFERROR(VLOOKUP(D913,'15. Gobernabilidad y Proceso...'!$G:$H,2,FALSE),IFERROR(VLOOKUP(D913,'12. Gestión del Talento Humano'!$F:$G,2,FALSE),IFERROR(VLOOKUP(D913,'14. Internacional... de la E.S.'!$F:$G,2,FALSE),IFERROR(VLOOKUP(D913,'10. Posgrado'!$F:$G,2,FALSE),IFERROR(VLOOKUP(D913,'17. Gestión TIC'!$F:$G,2,FALSE),IFERROR(VLOOKUP(D913,'16. Desa. del Sistema Educ.Sup.'!$F:$G,2,FALSE),IFERROR(VLOOKUP(D913,'8. Cultura de Inno. Insti...'!$F:$G,2,FALSE),VLOOKUP(D913,'7. Lo Esencial de la Reforma U.'!$G:$H,2,0)))))))))))))))))</f>
        <v>#N/A</v>
      </c>
      <c r="D914" s="31"/>
      <c r="E914" s="93"/>
      <c r="F914" s="93"/>
      <c r="G914" s="93"/>
      <c r="H914" s="76"/>
      <c r="I914" s="76"/>
      <c r="J914" s="76"/>
    </row>
    <row r="915" spans="3:12" ht="15.75" thickBot="1" x14ac:dyDescent="0.3">
      <c r="C915" s="177"/>
      <c r="D915" s="31"/>
      <c r="E915" s="93"/>
      <c r="F915" s="93"/>
      <c r="G915" s="93"/>
      <c r="H915" s="76"/>
      <c r="I915" s="76"/>
      <c r="J915" s="76"/>
      <c r="K915" s="153"/>
    </row>
    <row r="916" spans="3:12" ht="30.75" thickBot="1" x14ac:dyDescent="0.3">
      <c r="C916" s="134" t="s">
        <v>44</v>
      </c>
      <c r="D916" s="138" t="s">
        <v>55</v>
      </c>
      <c r="E916" s="170" t="s">
        <v>56</v>
      </c>
      <c r="F916" s="138" t="s">
        <v>57</v>
      </c>
      <c r="G916" s="135" t="s">
        <v>27</v>
      </c>
      <c r="H916" s="133" t="s">
        <v>129</v>
      </c>
      <c r="I916" s="136" t="s">
        <v>46</v>
      </c>
      <c r="J916" s="136" t="s">
        <v>130</v>
      </c>
      <c r="K916" s="136" t="s">
        <v>408</v>
      </c>
      <c r="L916" s="136" t="s">
        <v>409</v>
      </c>
    </row>
    <row r="917" spans="3:12" ht="15.75" thickBot="1" x14ac:dyDescent="0.3">
      <c r="C917" s="137" t="s">
        <v>480</v>
      </c>
      <c r="D917" s="199"/>
      <c r="E917" s="152">
        <v>12</v>
      </c>
      <c r="F917" s="303">
        <f>HLOOKUP($C917,$BZ$2:$CM$3,2,0)</f>
        <v>43674.39</v>
      </c>
      <c r="G917" s="113">
        <f>D917*E917*F917</f>
        <v>0</v>
      </c>
      <c r="H917" s="166"/>
      <c r="I917" s="114" t="s">
        <v>494</v>
      </c>
      <c r="J917" s="114" t="str">
        <f>VLOOKUP(I917,Presupuesto!$B$11:$C$565,2,0)</f>
        <v>SUELDOS Y SALARIOS PERMANENTES</v>
      </c>
      <c r="K917" s="218" t="s">
        <v>1468</v>
      </c>
      <c r="L917" s="98" t="s">
        <v>392</v>
      </c>
    </row>
    <row r="918" spans="3:12" x14ac:dyDescent="0.25">
      <c r="C918" s="171" t="s">
        <v>58</v>
      </c>
      <c r="D918" s="163"/>
      <c r="E918" s="154">
        <v>0</v>
      </c>
      <c r="F918" s="100">
        <f>IF(E917=0,"",(G917/E917)/12*E917)</f>
        <v>0</v>
      </c>
      <c r="G918" s="97">
        <f>F918</f>
        <v>0</v>
      </c>
      <c r="H918" s="164"/>
      <c r="I918" s="116" t="s">
        <v>514</v>
      </c>
      <c r="J918" s="116" t="str">
        <f>VLOOKUP(I918,Presupuesto!$B$11:$C$565,2,0)</f>
        <v>AGUINALDO Y DECIMO CUARTO MES</v>
      </c>
      <c r="K918" s="98" t="str">
        <f t="shared" ref="K918:K949" si="33">$K$917</f>
        <v>Desarrollo del Sistema de Educación Superior</v>
      </c>
      <c r="L918" s="98" t="s">
        <v>410</v>
      </c>
    </row>
    <row r="919" spans="3:12" ht="15.75" thickBot="1" x14ac:dyDescent="0.3">
      <c r="C919" s="172" t="s">
        <v>59</v>
      </c>
      <c r="D919" s="163"/>
      <c r="E919" s="154">
        <v>0</v>
      </c>
      <c r="F919" s="117">
        <f>IF(E917&lt;6,"",((E917-6)/12)*(G917/E917))</f>
        <v>0</v>
      </c>
      <c r="G919" s="97">
        <f>F919</f>
        <v>0</v>
      </c>
      <c r="H919" s="164"/>
      <c r="I919" s="101" t="s">
        <v>517</v>
      </c>
      <c r="J919" s="101" t="str">
        <f>VLOOKUP(I919,Presupuesto!$B$11:$C$565,2,0)</f>
        <v>DECIMOCUARTO MES</v>
      </c>
      <c r="K919" s="98" t="str">
        <f t="shared" si="33"/>
        <v>Desarrollo del Sistema de Educación Superior</v>
      </c>
      <c r="L919" s="98" t="s">
        <v>393</v>
      </c>
    </row>
    <row r="920" spans="3:12" ht="15.75" thickBot="1" x14ac:dyDescent="0.3">
      <c r="C920" s="137" t="s">
        <v>481</v>
      </c>
      <c r="D920" s="199"/>
      <c r="E920" s="152">
        <v>12</v>
      </c>
      <c r="F920" s="303">
        <f>HLOOKUP($C920,$BZ$2:$CM$3,2,0)</f>
        <v>39703.99</v>
      </c>
      <c r="G920" s="113">
        <f>D920*E920*F920</f>
        <v>0</v>
      </c>
      <c r="H920" s="166"/>
      <c r="I920" s="114" t="s">
        <v>494</v>
      </c>
      <c r="J920" s="114" t="str">
        <f>VLOOKUP(I920,Presupuesto!$B$11:$C$565,2,0)</f>
        <v>SUELDOS Y SALARIOS PERMANENTES</v>
      </c>
      <c r="K920" s="98" t="str">
        <f t="shared" si="33"/>
        <v>Desarrollo del Sistema de Educación Superior</v>
      </c>
      <c r="L920" s="98" t="s">
        <v>393</v>
      </c>
    </row>
    <row r="921" spans="3:12" x14ac:dyDescent="0.25">
      <c r="C921" s="171" t="s">
        <v>58</v>
      </c>
      <c r="D921" s="163"/>
      <c r="E921" s="154">
        <v>0</v>
      </c>
      <c r="F921" s="100">
        <f>IF(E920=0,"",(G920/E920)/12*E920)</f>
        <v>0</v>
      </c>
      <c r="G921" s="97">
        <f>F921</f>
        <v>0</v>
      </c>
      <c r="H921" s="164"/>
      <c r="I921" s="116" t="s">
        <v>514</v>
      </c>
      <c r="J921" s="116" t="str">
        <f>VLOOKUP(I921,Presupuesto!$B$11:$C$565,2,0)</f>
        <v>AGUINALDO Y DECIMO CUARTO MES</v>
      </c>
      <c r="K921" s="98" t="str">
        <f t="shared" si="33"/>
        <v>Desarrollo del Sistema de Educación Superior</v>
      </c>
      <c r="L921" s="98" t="s">
        <v>393</v>
      </c>
    </row>
    <row r="922" spans="3:12" ht="15.75" thickBot="1" x14ac:dyDescent="0.3">
      <c r="C922" s="172" t="s">
        <v>59</v>
      </c>
      <c r="D922" s="163"/>
      <c r="E922" s="154">
        <v>0</v>
      </c>
      <c r="F922" s="117">
        <f>IF(E920&lt;6,"",((E920-6)/12)*(G920/E920))</f>
        <v>0</v>
      </c>
      <c r="G922" s="97">
        <f>F922</f>
        <v>0</v>
      </c>
      <c r="H922" s="164"/>
      <c r="I922" s="101" t="s">
        <v>517</v>
      </c>
      <c r="J922" s="101" t="str">
        <f>VLOOKUP(I922,Presupuesto!$B$11:$C$565,2,0)</f>
        <v>DECIMOCUARTO MES</v>
      </c>
      <c r="K922" s="98" t="str">
        <f t="shared" si="33"/>
        <v>Desarrollo del Sistema de Educación Superior</v>
      </c>
      <c r="L922" s="98" t="s">
        <v>393</v>
      </c>
    </row>
    <row r="923" spans="3:12" ht="15.75" thickBot="1" x14ac:dyDescent="0.3">
      <c r="C923" s="137" t="s">
        <v>482</v>
      </c>
      <c r="D923" s="199"/>
      <c r="E923" s="152">
        <v>12</v>
      </c>
      <c r="F923" s="303">
        <f>HLOOKUP($C923,$BZ$2:$CM$3,2,0)</f>
        <v>35733.589999999997</v>
      </c>
      <c r="G923" s="113">
        <f>D923*E923*F923</f>
        <v>0</v>
      </c>
      <c r="H923" s="166"/>
      <c r="I923" s="114" t="s">
        <v>494</v>
      </c>
      <c r="J923" s="114" t="str">
        <f>VLOOKUP(I923,Presupuesto!$B$11:$C$565,2,0)</f>
        <v>SUELDOS Y SALARIOS PERMANENTES</v>
      </c>
      <c r="K923" s="98" t="str">
        <f t="shared" si="33"/>
        <v>Desarrollo del Sistema de Educación Superior</v>
      </c>
      <c r="L923" s="98" t="s">
        <v>393</v>
      </c>
    </row>
    <row r="924" spans="3:12" x14ac:dyDescent="0.25">
      <c r="C924" s="171" t="s">
        <v>58</v>
      </c>
      <c r="D924" s="163"/>
      <c r="E924" s="154">
        <v>0</v>
      </c>
      <c r="F924" s="100">
        <f>IF(E923=0,"",(G923/E923)/12*E923)</f>
        <v>0</v>
      </c>
      <c r="G924" s="97">
        <f>F924</f>
        <v>0</v>
      </c>
      <c r="H924" s="164"/>
      <c r="I924" s="116" t="s">
        <v>514</v>
      </c>
      <c r="J924" s="116" t="str">
        <f>VLOOKUP(I924,Presupuesto!$B$11:$C$565,2,0)</f>
        <v>AGUINALDO Y DECIMO CUARTO MES</v>
      </c>
      <c r="K924" s="98" t="str">
        <f t="shared" si="33"/>
        <v>Desarrollo del Sistema de Educación Superior</v>
      </c>
      <c r="L924" s="98" t="s">
        <v>393</v>
      </c>
    </row>
    <row r="925" spans="3:12" ht="15.75" thickBot="1" x14ac:dyDescent="0.3">
      <c r="C925" s="172" t="s">
        <v>59</v>
      </c>
      <c r="D925" s="163"/>
      <c r="E925" s="154">
        <v>0</v>
      </c>
      <c r="F925" s="117">
        <f>IF(E923&lt;6,"",((E923-6)/12)*(G923/E923))</f>
        <v>0</v>
      </c>
      <c r="G925" s="97">
        <f>F925</f>
        <v>0</v>
      </c>
      <c r="H925" s="164"/>
      <c r="I925" s="101" t="s">
        <v>517</v>
      </c>
      <c r="J925" s="101" t="str">
        <f>VLOOKUP(I925,Presupuesto!$B$11:$C$565,2,0)</f>
        <v>DECIMOCUARTO MES</v>
      </c>
      <c r="K925" s="98" t="str">
        <f t="shared" si="33"/>
        <v>Desarrollo del Sistema de Educación Superior</v>
      </c>
      <c r="L925" s="98" t="s">
        <v>393</v>
      </c>
    </row>
    <row r="926" spans="3:12" ht="15.75" thickBot="1" x14ac:dyDescent="0.3">
      <c r="C926" s="137" t="s">
        <v>483</v>
      </c>
      <c r="D926" s="199"/>
      <c r="E926" s="152">
        <v>12</v>
      </c>
      <c r="F926" s="303">
        <f>HLOOKUP($C926,$BZ$2:$CM$3,2,0)</f>
        <v>31763.19</v>
      </c>
      <c r="G926" s="113">
        <f>D926*E926*F926</f>
        <v>0</v>
      </c>
      <c r="H926" s="166"/>
      <c r="I926" s="114" t="s">
        <v>494</v>
      </c>
      <c r="J926" s="114" t="str">
        <f>VLOOKUP(I926,Presupuesto!$B$11:$C$565,2,0)</f>
        <v>SUELDOS Y SALARIOS PERMANENTES</v>
      </c>
      <c r="K926" s="98" t="str">
        <f t="shared" si="33"/>
        <v>Desarrollo del Sistema de Educación Superior</v>
      </c>
      <c r="L926" s="98" t="s">
        <v>393</v>
      </c>
    </row>
    <row r="927" spans="3:12" x14ac:dyDescent="0.25">
      <c r="C927" s="171" t="s">
        <v>58</v>
      </c>
      <c r="D927" s="163"/>
      <c r="E927" s="154">
        <v>0</v>
      </c>
      <c r="F927" s="100">
        <f>IF(E926=0,"",(G926/E926)/12*E926)</f>
        <v>0</v>
      </c>
      <c r="G927" s="97">
        <f>F927</f>
        <v>0</v>
      </c>
      <c r="H927" s="164"/>
      <c r="I927" s="116" t="s">
        <v>514</v>
      </c>
      <c r="J927" s="116" t="str">
        <f>VLOOKUP(I927,Presupuesto!$B$11:$C$565,2,0)</f>
        <v>AGUINALDO Y DECIMO CUARTO MES</v>
      </c>
      <c r="K927" s="98" t="str">
        <f t="shared" si="33"/>
        <v>Desarrollo del Sistema de Educación Superior</v>
      </c>
      <c r="L927" s="98" t="s">
        <v>393</v>
      </c>
    </row>
    <row r="928" spans="3:12" ht="15.75" thickBot="1" x14ac:dyDescent="0.3">
      <c r="C928" s="172" t="s">
        <v>59</v>
      </c>
      <c r="D928" s="163"/>
      <c r="E928" s="154">
        <v>0</v>
      </c>
      <c r="F928" s="117">
        <f>IF(E926&lt;6,"",((E926-6)/12)*(G926/E926))</f>
        <v>0</v>
      </c>
      <c r="G928" s="97">
        <f>F928</f>
        <v>0</v>
      </c>
      <c r="H928" s="164"/>
      <c r="I928" s="101" t="s">
        <v>517</v>
      </c>
      <c r="J928" s="101" t="str">
        <f>VLOOKUP(I928,Presupuesto!$B$11:$C$565,2,0)</f>
        <v>DECIMOCUARTO MES</v>
      </c>
      <c r="K928" s="98" t="str">
        <f t="shared" si="33"/>
        <v>Desarrollo del Sistema de Educación Superior</v>
      </c>
      <c r="L928" s="98" t="s">
        <v>393</v>
      </c>
    </row>
    <row r="929" spans="3:12" ht="15.75" thickBot="1" x14ac:dyDescent="0.3">
      <c r="C929" s="137" t="s">
        <v>484</v>
      </c>
      <c r="D929" s="199"/>
      <c r="E929" s="152">
        <v>12</v>
      </c>
      <c r="F929" s="303">
        <f>HLOOKUP($C929,$BZ$2:$CM$3,2,0)</f>
        <v>29777.99</v>
      </c>
      <c r="G929" s="113">
        <f>D929*E929*F929</f>
        <v>0</v>
      </c>
      <c r="H929" s="166"/>
      <c r="I929" s="114" t="s">
        <v>494</v>
      </c>
      <c r="J929" s="114" t="str">
        <f>VLOOKUP(I929,Presupuesto!$B$11:$C$565,2,0)</f>
        <v>SUELDOS Y SALARIOS PERMANENTES</v>
      </c>
      <c r="K929" s="98" t="str">
        <f t="shared" si="33"/>
        <v>Desarrollo del Sistema de Educación Superior</v>
      </c>
      <c r="L929" s="98" t="s">
        <v>393</v>
      </c>
    </row>
    <row r="930" spans="3:12" x14ac:dyDescent="0.25">
      <c r="C930" s="171" t="s">
        <v>58</v>
      </c>
      <c r="D930" s="163"/>
      <c r="E930" s="154">
        <v>0</v>
      </c>
      <c r="F930" s="100">
        <f>IF(E929=0,"",(G929/E929)/12*E929)</f>
        <v>0</v>
      </c>
      <c r="G930" s="97">
        <f>F930</f>
        <v>0</v>
      </c>
      <c r="H930" s="164"/>
      <c r="I930" s="116" t="s">
        <v>514</v>
      </c>
      <c r="J930" s="116" t="str">
        <f>VLOOKUP(I930,Presupuesto!$B$11:$C$565,2,0)</f>
        <v>AGUINALDO Y DECIMO CUARTO MES</v>
      </c>
      <c r="K930" s="98" t="str">
        <f t="shared" si="33"/>
        <v>Desarrollo del Sistema de Educación Superior</v>
      </c>
      <c r="L930" s="98" t="s">
        <v>393</v>
      </c>
    </row>
    <row r="931" spans="3:12" ht="15.75" thickBot="1" x14ac:dyDescent="0.3">
      <c r="C931" s="172" t="s">
        <v>59</v>
      </c>
      <c r="D931" s="163"/>
      <c r="E931" s="154">
        <v>0</v>
      </c>
      <c r="F931" s="117">
        <f>IF(E929&lt;6,"",((E929-6)/12)*(G929/E929))</f>
        <v>0</v>
      </c>
      <c r="G931" s="97">
        <f>F931</f>
        <v>0</v>
      </c>
      <c r="H931" s="164"/>
      <c r="I931" s="101" t="s">
        <v>517</v>
      </c>
      <c r="J931" s="101" t="str">
        <f>VLOOKUP(I931,Presupuesto!$B$11:$C$565,2,0)</f>
        <v>DECIMOCUARTO MES</v>
      </c>
      <c r="K931" s="98" t="str">
        <f t="shared" si="33"/>
        <v>Desarrollo del Sistema de Educación Superior</v>
      </c>
      <c r="L931" s="98" t="s">
        <v>393</v>
      </c>
    </row>
    <row r="932" spans="3:12" ht="15.75" thickBot="1" x14ac:dyDescent="0.3">
      <c r="C932" s="137" t="s">
        <v>485</v>
      </c>
      <c r="D932" s="199"/>
      <c r="E932" s="152">
        <v>12</v>
      </c>
      <c r="F932" s="303">
        <f>HLOOKUP($C932,$BZ$2:$CM$3,2,0)</f>
        <v>27792.79</v>
      </c>
      <c r="G932" s="113">
        <f>D932*E932*F932</f>
        <v>0</v>
      </c>
      <c r="H932" s="166"/>
      <c r="I932" s="114" t="s">
        <v>494</v>
      </c>
      <c r="J932" s="114" t="str">
        <f>VLOOKUP(I932,Presupuesto!$B$11:$C$565,2,0)</f>
        <v>SUELDOS Y SALARIOS PERMANENTES</v>
      </c>
      <c r="K932" s="98" t="str">
        <f t="shared" si="33"/>
        <v>Desarrollo del Sistema de Educación Superior</v>
      </c>
      <c r="L932" s="98" t="s">
        <v>393</v>
      </c>
    </row>
    <row r="933" spans="3:12" x14ac:dyDescent="0.25">
      <c r="C933" s="171" t="s">
        <v>58</v>
      </c>
      <c r="D933" s="163"/>
      <c r="E933" s="154">
        <v>0</v>
      </c>
      <c r="F933" s="100">
        <f>IF(E932=0,"",(G932/E932)/12*E932)</f>
        <v>0</v>
      </c>
      <c r="G933" s="97">
        <f>F933</f>
        <v>0</v>
      </c>
      <c r="H933" s="164"/>
      <c r="I933" s="116" t="s">
        <v>514</v>
      </c>
      <c r="J933" s="116" t="str">
        <f>VLOOKUP(I933,Presupuesto!$B$11:$C$565,2,0)</f>
        <v>AGUINALDO Y DECIMO CUARTO MES</v>
      </c>
      <c r="K933" s="98" t="str">
        <f t="shared" si="33"/>
        <v>Desarrollo del Sistema de Educación Superior</v>
      </c>
      <c r="L933" s="98" t="s">
        <v>393</v>
      </c>
    </row>
    <row r="934" spans="3:12" ht="15.75" thickBot="1" x14ac:dyDescent="0.3">
      <c r="C934" s="172" t="s">
        <v>59</v>
      </c>
      <c r="D934" s="163"/>
      <c r="E934" s="154">
        <v>0</v>
      </c>
      <c r="F934" s="117">
        <f>IF(E932&lt;6,"",((E932-6)/12)*(G932/E932))</f>
        <v>0</v>
      </c>
      <c r="G934" s="97">
        <f>F934</f>
        <v>0</v>
      </c>
      <c r="H934" s="164"/>
      <c r="I934" s="101" t="s">
        <v>517</v>
      </c>
      <c r="J934" s="101" t="str">
        <f>VLOOKUP(I934,Presupuesto!$B$11:$C$565,2,0)</f>
        <v>DECIMOCUARTO MES</v>
      </c>
      <c r="K934" s="98" t="str">
        <f t="shared" si="33"/>
        <v>Desarrollo del Sistema de Educación Superior</v>
      </c>
      <c r="L934" s="98" t="s">
        <v>393</v>
      </c>
    </row>
    <row r="935" spans="3:12" ht="15.75" thickBot="1" x14ac:dyDescent="0.3">
      <c r="C935" s="137" t="s">
        <v>486</v>
      </c>
      <c r="D935" s="199"/>
      <c r="E935" s="152">
        <v>12</v>
      </c>
      <c r="F935" s="303">
        <f>HLOOKUP($C935,$BZ$2:$CM$3,2,0)</f>
        <v>18859.39</v>
      </c>
      <c r="G935" s="113">
        <f>D935*E935*F935</f>
        <v>0</v>
      </c>
      <c r="H935" s="166"/>
      <c r="I935" s="114" t="s">
        <v>494</v>
      </c>
      <c r="J935" s="114" t="str">
        <f>VLOOKUP(I935,Presupuesto!$B$11:$C$565,2,0)</f>
        <v>SUELDOS Y SALARIOS PERMANENTES</v>
      </c>
      <c r="K935" s="98" t="str">
        <f t="shared" si="33"/>
        <v>Desarrollo del Sistema de Educación Superior</v>
      </c>
      <c r="L935" s="98" t="s">
        <v>393</v>
      </c>
    </row>
    <row r="936" spans="3:12" x14ac:dyDescent="0.25">
      <c r="C936" s="171" t="s">
        <v>58</v>
      </c>
      <c r="D936" s="163"/>
      <c r="E936" s="154">
        <v>0</v>
      </c>
      <c r="F936" s="100">
        <f>IF(E935=0,"",(G935/E935)/12*E935)</f>
        <v>0</v>
      </c>
      <c r="G936" s="97">
        <f>F936</f>
        <v>0</v>
      </c>
      <c r="H936" s="164"/>
      <c r="I936" s="116" t="s">
        <v>514</v>
      </c>
      <c r="J936" s="116" t="str">
        <f>VLOOKUP(I936,Presupuesto!$B$11:$C$565,2,0)</f>
        <v>AGUINALDO Y DECIMO CUARTO MES</v>
      </c>
      <c r="K936" s="98" t="str">
        <f t="shared" si="33"/>
        <v>Desarrollo del Sistema de Educación Superior</v>
      </c>
      <c r="L936" s="98" t="s">
        <v>393</v>
      </c>
    </row>
    <row r="937" spans="3:12" ht="15.75" thickBot="1" x14ac:dyDescent="0.3">
      <c r="C937" s="172" t="s">
        <v>59</v>
      </c>
      <c r="D937" s="163"/>
      <c r="E937" s="154">
        <v>0</v>
      </c>
      <c r="F937" s="117">
        <f>IF(E935&lt;6,"",((E935-6)/12)*(G935/E935))</f>
        <v>0</v>
      </c>
      <c r="G937" s="97">
        <f>F937</f>
        <v>0</v>
      </c>
      <c r="H937" s="164"/>
      <c r="I937" s="101" t="s">
        <v>517</v>
      </c>
      <c r="J937" s="101" t="str">
        <f>VLOOKUP(I937,Presupuesto!$B$11:$C$565,2,0)</f>
        <v>DECIMOCUARTO MES</v>
      </c>
      <c r="K937" s="98" t="str">
        <f t="shared" si="33"/>
        <v>Desarrollo del Sistema de Educación Superior</v>
      </c>
      <c r="L937" s="98" t="s">
        <v>393</v>
      </c>
    </row>
    <row r="938" spans="3:12" ht="15.75" thickBot="1" x14ac:dyDescent="0.3">
      <c r="C938" s="137" t="s">
        <v>487</v>
      </c>
      <c r="D938" s="199"/>
      <c r="E938" s="152">
        <v>12</v>
      </c>
      <c r="F938" s="303">
        <f>HLOOKUP($C938,$BZ$2:$CM$3,2,0)</f>
        <v>17866.8</v>
      </c>
      <c r="G938" s="113">
        <f>D938*E938*F938</f>
        <v>0</v>
      </c>
      <c r="H938" s="166"/>
      <c r="I938" s="114" t="s">
        <v>494</v>
      </c>
      <c r="J938" s="114" t="str">
        <f>VLOOKUP(I938,Presupuesto!$B$11:$C$565,2,0)</f>
        <v>SUELDOS Y SALARIOS PERMANENTES</v>
      </c>
      <c r="K938" s="98" t="str">
        <f t="shared" si="33"/>
        <v>Desarrollo del Sistema de Educación Superior</v>
      </c>
      <c r="L938" s="98" t="s">
        <v>393</v>
      </c>
    </row>
    <row r="939" spans="3:12" x14ac:dyDescent="0.25">
      <c r="C939" s="171" t="s">
        <v>58</v>
      </c>
      <c r="D939" s="163"/>
      <c r="E939" s="154">
        <v>0</v>
      </c>
      <c r="F939" s="100">
        <f>IF(E938=0,"",(G938/E938)/12*E938)</f>
        <v>0</v>
      </c>
      <c r="G939" s="97">
        <f>F939</f>
        <v>0</v>
      </c>
      <c r="H939" s="164"/>
      <c r="I939" s="116" t="s">
        <v>514</v>
      </c>
      <c r="J939" s="116" t="str">
        <f>VLOOKUP(I939,Presupuesto!$B$11:$C$565,2,0)</f>
        <v>AGUINALDO Y DECIMO CUARTO MES</v>
      </c>
      <c r="K939" s="98" t="str">
        <f t="shared" si="33"/>
        <v>Desarrollo del Sistema de Educación Superior</v>
      </c>
      <c r="L939" s="98" t="s">
        <v>393</v>
      </c>
    </row>
    <row r="940" spans="3:12" ht="15.75" thickBot="1" x14ac:dyDescent="0.3">
      <c r="C940" s="172" t="s">
        <v>59</v>
      </c>
      <c r="D940" s="163"/>
      <c r="E940" s="154">
        <v>0</v>
      </c>
      <c r="F940" s="117">
        <f>IF(E938&lt;6,"",((E938-6)/12)*(G938/E938))</f>
        <v>0</v>
      </c>
      <c r="G940" s="97">
        <f>F940</f>
        <v>0</v>
      </c>
      <c r="H940" s="164"/>
      <c r="I940" s="101" t="s">
        <v>517</v>
      </c>
      <c r="J940" s="101" t="str">
        <f>VLOOKUP(I940,Presupuesto!$B$11:$C$565,2,0)</f>
        <v>DECIMOCUARTO MES</v>
      </c>
      <c r="K940" s="98" t="str">
        <f t="shared" si="33"/>
        <v>Desarrollo del Sistema de Educación Superior</v>
      </c>
      <c r="L940" s="98" t="s">
        <v>393</v>
      </c>
    </row>
    <row r="941" spans="3:12" ht="15.75" thickBot="1" x14ac:dyDescent="0.3">
      <c r="C941" s="137" t="s">
        <v>488</v>
      </c>
      <c r="D941" s="199"/>
      <c r="E941" s="152">
        <v>12</v>
      </c>
      <c r="F941" s="303">
        <f>HLOOKUP($C941,$BZ$2:$CM$3,2,0)</f>
        <v>13896.4</v>
      </c>
      <c r="G941" s="113">
        <f>D941*E941*F941</f>
        <v>0</v>
      </c>
      <c r="H941" s="166"/>
      <c r="I941" s="114" t="s">
        <v>494</v>
      </c>
      <c r="J941" s="114" t="str">
        <f>VLOOKUP(I941,Presupuesto!$B$11:$C$565,2,0)</f>
        <v>SUELDOS Y SALARIOS PERMANENTES</v>
      </c>
      <c r="K941" s="98" t="str">
        <f t="shared" si="33"/>
        <v>Desarrollo del Sistema de Educación Superior</v>
      </c>
      <c r="L941" s="98" t="s">
        <v>393</v>
      </c>
    </row>
    <row r="942" spans="3:12" x14ac:dyDescent="0.25">
      <c r="C942" s="171" t="s">
        <v>58</v>
      </c>
      <c r="D942" s="163"/>
      <c r="E942" s="154">
        <v>0</v>
      </c>
      <c r="F942" s="100">
        <f>IF(E941=0,"",(G941/E941)/12*E941)</f>
        <v>0</v>
      </c>
      <c r="G942" s="97">
        <f>F942</f>
        <v>0</v>
      </c>
      <c r="H942" s="164"/>
      <c r="I942" s="116" t="s">
        <v>514</v>
      </c>
      <c r="J942" s="116" t="str">
        <f>VLOOKUP(I942,Presupuesto!$B$11:$C$565,2,0)</f>
        <v>AGUINALDO Y DECIMO CUARTO MES</v>
      </c>
      <c r="K942" s="98" t="str">
        <f t="shared" si="33"/>
        <v>Desarrollo del Sistema de Educación Superior</v>
      </c>
      <c r="L942" s="98" t="s">
        <v>393</v>
      </c>
    </row>
    <row r="943" spans="3:12" ht="15.75" thickBot="1" x14ac:dyDescent="0.3">
      <c r="C943" s="172" t="s">
        <v>59</v>
      </c>
      <c r="D943" s="163"/>
      <c r="E943" s="154">
        <v>0</v>
      </c>
      <c r="F943" s="117">
        <f>IF(E941&lt;6,"",((E941-6)/12)*(G941/E941))</f>
        <v>0</v>
      </c>
      <c r="G943" s="97">
        <f>F943</f>
        <v>0</v>
      </c>
      <c r="H943" s="164"/>
      <c r="I943" s="101" t="s">
        <v>517</v>
      </c>
      <c r="J943" s="101" t="str">
        <f>VLOOKUP(I943,Presupuesto!$B$11:$C$565,2,0)</f>
        <v>DECIMOCUARTO MES</v>
      </c>
      <c r="K943" s="98" t="str">
        <f t="shared" si="33"/>
        <v>Desarrollo del Sistema de Educación Superior</v>
      </c>
      <c r="L943" s="98" t="s">
        <v>393</v>
      </c>
    </row>
    <row r="944" spans="3:12" ht="15.75" thickBot="1" x14ac:dyDescent="0.3">
      <c r="C944" s="137" t="s">
        <v>489</v>
      </c>
      <c r="D944" s="199"/>
      <c r="E944" s="152">
        <v>12</v>
      </c>
      <c r="F944" s="303">
        <f>HLOOKUP($C944,$BZ$2:$CM$3,2,0)</f>
        <v>15004.09</v>
      </c>
      <c r="G944" s="113">
        <f>D944*E944*F944</f>
        <v>0</v>
      </c>
      <c r="H944" s="166"/>
      <c r="I944" s="114" t="s">
        <v>494</v>
      </c>
      <c r="J944" s="114" t="str">
        <f>VLOOKUP(I944,Presupuesto!$B$11:$C$565,2,0)</f>
        <v>SUELDOS Y SALARIOS PERMANENTES</v>
      </c>
      <c r="K944" s="98" t="str">
        <f t="shared" si="33"/>
        <v>Desarrollo del Sistema de Educación Superior</v>
      </c>
      <c r="L944" s="98" t="s">
        <v>393</v>
      </c>
    </row>
    <row r="945" spans="3:12" x14ac:dyDescent="0.25">
      <c r="C945" s="171" t="s">
        <v>58</v>
      </c>
      <c r="D945" s="163"/>
      <c r="E945" s="154">
        <v>0</v>
      </c>
      <c r="F945" s="100">
        <f>IF(E944=0,"",(G944/E944)/12*E944)</f>
        <v>0</v>
      </c>
      <c r="G945" s="97">
        <f>F945</f>
        <v>0</v>
      </c>
      <c r="H945" s="164"/>
      <c r="I945" s="116" t="s">
        <v>514</v>
      </c>
      <c r="J945" s="116" t="str">
        <f>VLOOKUP(I945,Presupuesto!$B$11:$C$565,2,0)</f>
        <v>AGUINALDO Y DECIMO CUARTO MES</v>
      </c>
      <c r="K945" s="98" t="str">
        <f t="shared" si="33"/>
        <v>Desarrollo del Sistema de Educación Superior</v>
      </c>
      <c r="L945" s="98" t="s">
        <v>393</v>
      </c>
    </row>
    <row r="946" spans="3:12" ht="15.75" thickBot="1" x14ac:dyDescent="0.3">
      <c r="C946" s="172" t="s">
        <v>59</v>
      </c>
      <c r="D946" s="163"/>
      <c r="E946" s="154">
        <v>0</v>
      </c>
      <c r="F946" s="117">
        <f>IF(E944&lt;6,"",((E944-6)/12)*(G944/E944))</f>
        <v>0</v>
      </c>
      <c r="G946" s="97">
        <f>F946</f>
        <v>0</v>
      </c>
      <c r="H946" s="164"/>
      <c r="I946" s="101" t="s">
        <v>517</v>
      </c>
      <c r="J946" s="101" t="str">
        <f>VLOOKUP(I946,Presupuesto!$B$11:$C$565,2,0)</f>
        <v>DECIMOCUARTO MES</v>
      </c>
      <c r="K946" s="98" t="str">
        <f t="shared" si="33"/>
        <v>Desarrollo del Sistema de Educación Superior</v>
      </c>
      <c r="L946" s="98" t="s">
        <v>393</v>
      </c>
    </row>
    <row r="947" spans="3:12" ht="15.75" thickBot="1" x14ac:dyDescent="0.3">
      <c r="C947" s="137" t="s">
        <v>490</v>
      </c>
      <c r="D947" s="199"/>
      <c r="E947" s="152">
        <v>12</v>
      </c>
      <c r="F947" s="303">
        <f>HLOOKUP($C947,$BZ$2:$CM$3,2,0)</f>
        <v>13238.9</v>
      </c>
      <c r="G947" s="113">
        <f>D947*E947*F947</f>
        <v>0</v>
      </c>
      <c r="H947" s="166"/>
      <c r="I947" s="114" t="s">
        <v>494</v>
      </c>
      <c r="J947" s="114" t="str">
        <f>VLOOKUP(I947,Presupuesto!$B$11:$C$565,2,0)</f>
        <v>SUELDOS Y SALARIOS PERMANENTES</v>
      </c>
      <c r="K947" s="98" t="str">
        <f t="shared" si="33"/>
        <v>Desarrollo del Sistema de Educación Superior</v>
      </c>
      <c r="L947" s="98" t="s">
        <v>393</v>
      </c>
    </row>
    <row r="948" spans="3:12" x14ac:dyDescent="0.25">
      <c r="C948" s="171" t="s">
        <v>58</v>
      </c>
      <c r="D948" s="163"/>
      <c r="E948" s="154">
        <v>0</v>
      </c>
      <c r="F948" s="100">
        <f>IF(E947=0,"",(G947/E947)/12*E947)</f>
        <v>0</v>
      </c>
      <c r="G948" s="97">
        <f>F948</f>
        <v>0</v>
      </c>
      <c r="H948" s="164"/>
      <c r="I948" s="116" t="s">
        <v>514</v>
      </c>
      <c r="J948" s="116" t="str">
        <f>VLOOKUP(I948,Presupuesto!$B$11:$C$565,2,0)</f>
        <v>AGUINALDO Y DECIMO CUARTO MES</v>
      </c>
      <c r="K948" s="98" t="str">
        <f t="shared" si="33"/>
        <v>Desarrollo del Sistema de Educación Superior</v>
      </c>
      <c r="L948" s="98" t="s">
        <v>393</v>
      </c>
    </row>
    <row r="949" spans="3:12" ht="15.75" thickBot="1" x14ac:dyDescent="0.3">
      <c r="C949" s="172" t="s">
        <v>59</v>
      </c>
      <c r="D949" s="163"/>
      <c r="E949" s="154">
        <v>0</v>
      </c>
      <c r="F949" s="117">
        <f>IF(E947&lt;6,"",((E947-6)/12)*(G947/E947))</f>
        <v>0</v>
      </c>
      <c r="G949" s="97">
        <f>F949</f>
        <v>0</v>
      </c>
      <c r="H949" s="164"/>
      <c r="I949" s="101" t="s">
        <v>517</v>
      </c>
      <c r="J949" s="101" t="str">
        <f>VLOOKUP(I949,Presupuesto!$B$11:$C$565,2,0)</f>
        <v>DECIMOCUARTO MES</v>
      </c>
      <c r="K949" s="98" t="str">
        <f t="shared" si="33"/>
        <v>Desarrollo del Sistema de Educación Superior</v>
      </c>
      <c r="L949" s="98" t="s">
        <v>393</v>
      </c>
    </row>
    <row r="950" spans="3:12" ht="15.75" thickBot="1" x14ac:dyDescent="0.3">
      <c r="C950" s="137" t="s">
        <v>491</v>
      </c>
      <c r="D950" s="199"/>
      <c r="E950" s="152">
        <v>12</v>
      </c>
      <c r="F950" s="303">
        <f>HLOOKUP($C950,$BZ$2:$CM$3,2,0)</f>
        <v>12356.31</v>
      </c>
      <c r="G950" s="113">
        <f>D950*E950*F950</f>
        <v>0</v>
      </c>
      <c r="H950" s="166"/>
      <c r="I950" s="114" t="s">
        <v>494</v>
      </c>
      <c r="J950" s="114" t="str">
        <f>VLOOKUP(I950,Presupuesto!$B$11:$C$565,2,0)</f>
        <v>SUELDOS Y SALARIOS PERMANENTES</v>
      </c>
      <c r="K950" s="98" t="str">
        <f t="shared" ref="K950:K967" si="34">$K$917</f>
        <v>Desarrollo del Sistema de Educación Superior</v>
      </c>
      <c r="L950" s="98" t="s">
        <v>393</v>
      </c>
    </row>
    <row r="951" spans="3:12" x14ac:dyDescent="0.25">
      <c r="C951" s="171" t="s">
        <v>58</v>
      </c>
      <c r="D951" s="163"/>
      <c r="E951" s="154">
        <v>0</v>
      </c>
      <c r="F951" s="100">
        <f>IF(E950=0,"",(G950/E950)/12*E950)</f>
        <v>0</v>
      </c>
      <c r="G951" s="97">
        <f>F951</f>
        <v>0</v>
      </c>
      <c r="H951" s="164"/>
      <c r="I951" s="116" t="s">
        <v>514</v>
      </c>
      <c r="J951" s="116" t="str">
        <f>VLOOKUP(I951,Presupuesto!$B$11:$C$565,2,0)</f>
        <v>AGUINALDO Y DECIMO CUARTO MES</v>
      </c>
      <c r="K951" s="98" t="str">
        <f t="shared" si="34"/>
        <v>Desarrollo del Sistema de Educación Superior</v>
      </c>
      <c r="L951" s="98" t="s">
        <v>393</v>
      </c>
    </row>
    <row r="952" spans="3:12" ht="15.75" thickBot="1" x14ac:dyDescent="0.3">
      <c r="C952" s="172" t="s">
        <v>59</v>
      </c>
      <c r="D952" s="163"/>
      <c r="E952" s="154">
        <v>0</v>
      </c>
      <c r="F952" s="117">
        <f>IF(E950&lt;6,"",((E950-6)/12)*(G950/E950))</f>
        <v>0</v>
      </c>
      <c r="G952" s="97">
        <f>F952</f>
        <v>0</v>
      </c>
      <c r="H952" s="164"/>
      <c r="I952" s="101" t="s">
        <v>517</v>
      </c>
      <c r="J952" s="101" t="str">
        <f>VLOOKUP(I952,Presupuesto!$B$11:$C$565,2,0)</f>
        <v>DECIMOCUARTO MES</v>
      </c>
      <c r="K952" s="98" t="str">
        <f t="shared" si="34"/>
        <v>Desarrollo del Sistema de Educación Superior</v>
      </c>
      <c r="L952" s="98" t="s">
        <v>393</v>
      </c>
    </row>
    <row r="953" spans="3:12" ht="15.75" thickBot="1" x14ac:dyDescent="0.3">
      <c r="C953" s="137" t="s">
        <v>492</v>
      </c>
      <c r="D953" s="199"/>
      <c r="E953" s="152">
        <v>12</v>
      </c>
      <c r="F953" s="303">
        <f>HLOOKUP($C953,$BZ$2:$CM$3,2,0)</f>
        <v>463.22</v>
      </c>
      <c r="G953" s="113">
        <f>D953*E953*F953</f>
        <v>0</v>
      </c>
      <c r="H953" s="166"/>
      <c r="I953" s="114" t="s">
        <v>494</v>
      </c>
      <c r="J953" s="114" t="str">
        <f>VLOOKUP(I953,Presupuesto!$B$11:$C$565,2,0)</f>
        <v>SUELDOS Y SALARIOS PERMANENTES</v>
      </c>
      <c r="K953" s="98" t="str">
        <f t="shared" si="34"/>
        <v>Desarrollo del Sistema de Educación Superior</v>
      </c>
      <c r="L953" s="98" t="s">
        <v>393</v>
      </c>
    </row>
    <row r="954" spans="3:12" x14ac:dyDescent="0.25">
      <c r="C954" s="171" t="s">
        <v>58</v>
      </c>
      <c r="D954" s="163"/>
      <c r="E954" s="154">
        <v>0</v>
      </c>
      <c r="F954" s="100">
        <f>IF(E953=0,"",(G953/E953)/12*E953)</f>
        <v>0</v>
      </c>
      <c r="G954" s="97">
        <f>F954</f>
        <v>0</v>
      </c>
      <c r="H954" s="164"/>
      <c r="I954" s="116" t="s">
        <v>514</v>
      </c>
      <c r="J954" s="116" t="str">
        <f>VLOOKUP(I954,Presupuesto!$B$11:$C$565,2,0)</f>
        <v>AGUINALDO Y DECIMO CUARTO MES</v>
      </c>
      <c r="K954" s="98" t="str">
        <f t="shared" si="34"/>
        <v>Desarrollo del Sistema de Educación Superior</v>
      </c>
      <c r="L954" s="98" t="s">
        <v>393</v>
      </c>
    </row>
    <row r="955" spans="3:12" ht="15.75" thickBot="1" x14ac:dyDescent="0.3">
      <c r="C955" s="172" t="s">
        <v>59</v>
      </c>
      <c r="D955" s="163"/>
      <c r="E955" s="154">
        <v>0</v>
      </c>
      <c r="F955" s="117">
        <f>IF(E953&lt;6,"",((E953-6)/12)*(G953/E953))</f>
        <v>0</v>
      </c>
      <c r="G955" s="97">
        <f>F955</f>
        <v>0</v>
      </c>
      <c r="H955" s="164"/>
      <c r="I955" s="101" t="s">
        <v>517</v>
      </c>
      <c r="J955" s="101" t="str">
        <f>VLOOKUP(I955,Presupuesto!$B$11:$C$565,2,0)</f>
        <v>DECIMOCUARTO MES</v>
      </c>
      <c r="K955" s="98" t="str">
        <f t="shared" si="34"/>
        <v>Desarrollo del Sistema de Educación Superior</v>
      </c>
      <c r="L955" s="98" t="s">
        <v>393</v>
      </c>
    </row>
    <row r="956" spans="3:12" ht="15.75" thickBot="1" x14ac:dyDescent="0.3">
      <c r="C956" s="137" t="s">
        <v>493</v>
      </c>
      <c r="D956" s="199"/>
      <c r="E956" s="152">
        <v>12</v>
      </c>
      <c r="F956" s="303">
        <f>HLOOKUP($C956,$BZ$2:$CM$3,2,0)</f>
        <v>2007.3</v>
      </c>
      <c r="G956" s="113">
        <f>D956*E956*F956</f>
        <v>0</v>
      </c>
      <c r="H956" s="166"/>
      <c r="I956" s="114" t="s">
        <v>494</v>
      </c>
      <c r="J956" s="114" t="str">
        <f>VLOOKUP(I956,Presupuesto!$B$11:$C$565,2,0)</f>
        <v>SUELDOS Y SALARIOS PERMANENTES</v>
      </c>
      <c r="K956" s="98" t="str">
        <f t="shared" si="34"/>
        <v>Desarrollo del Sistema de Educación Superior</v>
      </c>
      <c r="L956" s="98" t="s">
        <v>393</v>
      </c>
    </row>
    <row r="957" spans="3:12" x14ac:dyDescent="0.25">
      <c r="C957" s="171" t="s">
        <v>58</v>
      </c>
      <c r="D957" s="163"/>
      <c r="E957" s="154">
        <v>0</v>
      </c>
      <c r="F957" s="100">
        <f>IF(E956=0,"",(G956/E956)/12*E956)</f>
        <v>0</v>
      </c>
      <c r="G957" s="97">
        <f>F957</f>
        <v>0</v>
      </c>
      <c r="H957" s="164"/>
      <c r="I957" s="116" t="s">
        <v>514</v>
      </c>
      <c r="J957" s="116" t="str">
        <f>VLOOKUP(I957,Presupuesto!$B$11:$C$565,2,0)</f>
        <v>AGUINALDO Y DECIMO CUARTO MES</v>
      </c>
      <c r="K957" s="98" t="str">
        <f t="shared" si="34"/>
        <v>Desarrollo del Sistema de Educación Superior</v>
      </c>
      <c r="L957" s="98" t="s">
        <v>393</v>
      </c>
    </row>
    <row r="958" spans="3:12" ht="15.75" thickBot="1" x14ac:dyDescent="0.3">
      <c r="C958" s="172" t="s">
        <v>59</v>
      </c>
      <c r="D958" s="163"/>
      <c r="E958" s="154">
        <v>0</v>
      </c>
      <c r="F958" s="117">
        <f>IF(E956&lt;6,"",((E956-6)/12)*(G956/E956))</f>
        <v>0</v>
      </c>
      <c r="G958" s="97">
        <f>F958</f>
        <v>0</v>
      </c>
      <c r="H958" s="164"/>
      <c r="I958" s="101" t="s">
        <v>517</v>
      </c>
      <c r="J958" s="101" t="str">
        <f>VLOOKUP(I958,Presupuesto!$B$11:$C$565,2,0)</f>
        <v>DECIMOCUARTO MES</v>
      </c>
      <c r="K958" s="98" t="str">
        <f t="shared" si="34"/>
        <v>Desarrollo del Sistema de Educación Superior</v>
      </c>
      <c r="L958" s="98" t="s">
        <v>393</v>
      </c>
    </row>
    <row r="959" spans="3:12" ht="15.75" thickBot="1" x14ac:dyDescent="0.3">
      <c r="C959" s="140" t="s">
        <v>83</v>
      </c>
      <c r="D959" s="199"/>
      <c r="E959" s="152">
        <v>12</v>
      </c>
      <c r="F959" s="139">
        <v>30000</v>
      </c>
      <c r="G959" s="113">
        <f>D959*E959*F959</f>
        <v>0</v>
      </c>
      <c r="H959" s="166"/>
      <c r="I959" s="114" t="s">
        <v>562</v>
      </c>
      <c r="J959" s="114" t="str">
        <f>VLOOKUP(I959,Presupuesto!$B$11:$C$565,2,0)</f>
        <v>CONTRATOS ESPECIALES</v>
      </c>
      <c r="K959" s="98" t="str">
        <f t="shared" si="34"/>
        <v>Desarrollo del Sistema de Educación Superior</v>
      </c>
      <c r="L959" s="98" t="s">
        <v>393</v>
      </c>
    </row>
    <row r="960" spans="3:12" x14ac:dyDescent="0.25">
      <c r="C960" s="171" t="s">
        <v>58</v>
      </c>
      <c r="D960" s="163"/>
      <c r="E960" s="154">
        <v>0</v>
      </c>
      <c r="F960" s="117">
        <f>IF(E959=0,"",(G959/E959)/12*E959)</f>
        <v>0</v>
      </c>
      <c r="G960" s="97">
        <f>F960</f>
        <v>0</v>
      </c>
      <c r="H960" s="164"/>
      <c r="I960" s="101" t="s">
        <v>562</v>
      </c>
      <c r="J960" s="101" t="str">
        <f>VLOOKUP(I960,Presupuesto!$B$11:$C$565,2,0)</f>
        <v>CONTRATOS ESPECIALES</v>
      </c>
      <c r="K960" s="98" t="str">
        <f t="shared" si="34"/>
        <v>Desarrollo del Sistema de Educación Superior</v>
      </c>
      <c r="L960" s="98" t="s">
        <v>392</v>
      </c>
    </row>
    <row r="961" spans="3:12" ht="15.75" thickBot="1" x14ac:dyDescent="0.3">
      <c r="C961" s="172" t="s">
        <v>59</v>
      </c>
      <c r="D961" s="163"/>
      <c r="E961" s="154">
        <v>0</v>
      </c>
      <c r="F961" s="100">
        <f>IF(E959&lt;6,"",((E959-6)/12)*(G959/E959))</f>
        <v>0</v>
      </c>
      <c r="G961" s="97">
        <f>F961</f>
        <v>0</v>
      </c>
      <c r="H961" s="164"/>
      <c r="I961" s="101" t="s">
        <v>562</v>
      </c>
      <c r="J961" s="101" t="str">
        <f>VLOOKUP(I961,Presupuesto!$B$11:$C$565,2,0)</f>
        <v>CONTRATOS ESPECIALES</v>
      </c>
      <c r="K961" s="98" t="str">
        <f t="shared" si="34"/>
        <v>Desarrollo del Sistema de Educación Superior</v>
      </c>
      <c r="L961" s="98" t="s">
        <v>397</v>
      </c>
    </row>
    <row r="962" spans="3:12" ht="15.75" thickBot="1" x14ac:dyDescent="0.3">
      <c r="C962" s="140" t="s">
        <v>60</v>
      </c>
      <c r="D962" s="199"/>
      <c r="E962" s="152">
        <v>12</v>
      </c>
      <c r="F962" s="118">
        <v>30000</v>
      </c>
      <c r="G962" s="113">
        <f>D962*E962*F962</f>
        <v>0</v>
      </c>
      <c r="H962" s="166"/>
      <c r="I962" s="114" t="s">
        <v>703</v>
      </c>
      <c r="J962" s="114" t="str">
        <f>VLOOKUP(I962,Presupuesto!$B$11:$C$565,2,0)</f>
        <v>OTROS SERVICIOS TECNICOS Y PROFESIONALES</v>
      </c>
      <c r="K962" s="98" t="str">
        <f t="shared" si="34"/>
        <v>Desarrollo del Sistema de Educación Superior</v>
      </c>
      <c r="L962" s="98" t="s">
        <v>392</v>
      </c>
    </row>
    <row r="963" spans="3:12" x14ac:dyDescent="0.25">
      <c r="C963" s="171" t="s">
        <v>58</v>
      </c>
      <c r="D963" s="163"/>
      <c r="E963" s="154">
        <v>0</v>
      </c>
      <c r="F963" s="100">
        <v>0</v>
      </c>
      <c r="G963" s="97">
        <f>F963</f>
        <v>0</v>
      </c>
      <c r="H963" s="164"/>
      <c r="I963" s="101" t="s">
        <v>703</v>
      </c>
      <c r="J963" s="101" t="str">
        <f>VLOOKUP(I963,Presupuesto!$B$11:$C$565,2,0)</f>
        <v>OTROS SERVICIOS TECNICOS Y PROFESIONALES</v>
      </c>
      <c r="K963" s="98" t="str">
        <f t="shared" si="34"/>
        <v>Desarrollo del Sistema de Educación Superior</v>
      </c>
      <c r="L963" s="98" t="s">
        <v>392</v>
      </c>
    </row>
    <row r="964" spans="3:12" ht="15.75" thickBot="1" x14ac:dyDescent="0.3">
      <c r="C964" s="172" t="s">
        <v>59</v>
      </c>
      <c r="D964" s="163"/>
      <c r="E964" s="154">
        <v>0</v>
      </c>
      <c r="F964" s="100">
        <v>0</v>
      </c>
      <c r="G964" s="97">
        <f>F964</f>
        <v>0</v>
      </c>
      <c r="H964" s="164"/>
      <c r="I964" s="101" t="s">
        <v>703</v>
      </c>
      <c r="J964" s="101" t="str">
        <f>VLOOKUP(I964,Presupuesto!$B$11:$C$565,2,0)</f>
        <v>OTROS SERVICIOS TECNICOS Y PROFESIONALES</v>
      </c>
      <c r="K964" s="98" t="str">
        <f t="shared" si="34"/>
        <v>Desarrollo del Sistema de Educación Superior</v>
      </c>
      <c r="L964" s="98" t="s">
        <v>392</v>
      </c>
    </row>
    <row r="965" spans="3:12" ht="15.75" thickBot="1" x14ac:dyDescent="0.3">
      <c r="C965" s="140" t="s">
        <v>61</v>
      </c>
      <c r="D965" s="199"/>
      <c r="E965" s="152">
        <v>12</v>
      </c>
      <c r="F965" s="118">
        <v>30000</v>
      </c>
      <c r="G965" s="113">
        <f>D965*E965*F965</f>
        <v>0</v>
      </c>
      <c r="H965" s="166"/>
      <c r="I965" s="114" t="s">
        <v>494</v>
      </c>
      <c r="J965" s="114" t="str">
        <f>VLOOKUP(I965,Presupuesto!$B$11:$C$565,2,0)</f>
        <v>SUELDOS Y SALARIOS PERMANENTES</v>
      </c>
      <c r="K965" s="98" t="str">
        <f t="shared" si="34"/>
        <v>Desarrollo del Sistema de Educación Superior</v>
      </c>
      <c r="L965" s="98" t="s">
        <v>392</v>
      </c>
    </row>
    <row r="966" spans="3:12" x14ac:dyDescent="0.25">
      <c r="C966" s="171" t="s">
        <v>58</v>
      </c>
      <c r="D966" s="169"/>
      <c r="E966" s="131">
        <v>0</v>
      </c>
      <c r="F966" s="119">
        <f>IF(E965=0,"",(G965/E965)/12*E965)</f>
        <v>0</v>
      </c>
      <c r="G966" s="120">
        <f>F966</f>
        <v>0</v>
      </c>
      <c r="H966" s="164"/>
      <c r="I966" s="101" t="s">
        <v>514</v>
      </c>
      <c r="J966" s="101" t="str">
        <f>VLOOKUP(I966,Presupuesto!$B$11:$C$565,2,0)</f>
        <v>AGUINALDO Y DECIMO CUARTO MES</v>
      </c>
      <c r="K966" s="98" t="str">
        <f t="shared" si="34"/>
        <v>Desarrollo del Sistema de Educación Superior</v>
      </c>
      <c r="L966" s="98" t="s">
        <v>392</v>
      </c>
    </row>
    <row r="967" spans="3:12" ht="15.75" thickBot="1" x14ac:dyDescent="0.3">
      <c r="C967" s="173" t="s">
        <v>59</v>
      </c>
      <c r="D967" s="162"/>
      <c r="E967" s="132">
        <v>0</v>
      </c>
      <c r="F967" s="105">
        <f>IF(E965&lt;6,"",((E965-6)/12)*(G965/E965))</f>
        <v>0</v>
      </c>
      <c r="G967" s="105">
        <f>F967</f>
        <v>0</v>
      </c>
      <c r="H967" s="162"/>
      <c r="I967" s="106" t="s">
        <v>517</v>
      </c>
      <c r="J967" s="124" t="str">
        <f>VLOOKUP(I967,Presupuesto!$B$11:$C$565,2,0)</f>
        <v>DECIMOCUARTO MES</v>
      </c>
      <c r="K967" s="106" t="str">
        <f t="shared" si="34"/>
        <v>Desarrollo del Sistema de Educación Superior</v>
      </c>
      <c r="L967" s="124" t="s">
        <v>392</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917:L967 L137:L187 L197:L247 L257:L307 L317:L367 L377:L427 L437:L487 L497:L547 L557:L607 L617:L667 L677:L727 L737:L787 L797:L847 L857:L907 L77:L12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18:K67 K78:K127 K198:K247 K258:K307 K318:K367 K378:K427 K438:K487 K498:K547 K558:K607 K618:K667 K678:K727 K738:K787 K798:K847 K858:K907 K918:K967 K138:K18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44"/>
  <sheetViews>
    <sheetView showGridLines="0" topLeftCell="E76" zoomScale="90" zoomScaleNormal="90" workbookViewId="0">
      <selection activeCell="I23" sqref="I23"/>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38.2851562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x14ac:dyDescent="0.25">
      <c r="A1" s="187" t="s">
        <v>249</v>
      </c>
      <c r="B1" s="190" t="s">
        <v>250</v>
      </c>
      <c r="C1" s="181" t="s">
        <v>251</v>
      </c>
      <c r="D1" s="181" t="s">
        <v>494</v>
      </c>
      <c r="E1" s="181" t="s">
        <v>496</v>
      </c>
      <c r="F1" s="181" t="s">
        <v>498</v>
      </c>
      <c r="G1" s="181" t="s">
        <v>500</v>
      </c>
      <c r="H1" s="181" t="s">
        <v>502</v>
      </c>
      <c r="I1" s="181" t="s">
        <v>504</v>
      </c>
      <c r="J1" s="181" t="s">
        <v>252</v>
      </c>
      <c r="K1" s="181" t="s">
        <v>507</v>
      </c>
      <c r="L1" s="181" t="s">
        <v>253</v>
      </c>
      <c r="M1" s="181" t="s">
        <v>509</v>
      </c>
      <c r="N1" s="181" t="s">
        <v>511</v>
      </c>
      <c r="O1" s="181" t="s">
        <v>513</v>
      </c>
      <c r="P1" s="181" t="s">
        <v>254</v>
      </c>
      <c r="Q1" s="181" t="s">
        <v>514</v>
      </c>
      <c r="R1" s="181" t="s">
        <v>517</v>
      </c>
      <c r="S1" s="181" t="s">
        <v>255</v>
      </c>
      <c r="T1" s="181" t="s">
        <v>519</v>
      </c>
      <c r="U1" s="181" t="s">
        <v>256</v>
      </c>
      <c r="V1" s="181" t="s">
        <v>520</v>
      </c>
      <c r="W1" s="181" t="s">
        <v>521</v>
      </c>
      <c r="X1" s="181" t="s">
        <v>525</v>
      </c>
      <c r="Y1" s="181" t="s">
        <v>272</v>
      </c>
      <c r="Z1" s="181" t="s">
        <v>526</v>
      </c>
      <c r="AA1" s="181" t="s">
        <v>528</v>
      </c>
      <c r="AB1" s="181" t="s">
        <v>530</v>
      </c>
      <c r="AC1" s="181" t="s">
        <v>273</v>
      </c>
      <c r="AD1" s="181" t="s">
        <v>532</v>
      </c>
      <c r="AE1" s="181" t="s">
        <v>534</v>
      </c>
      <c r="AF1" s="181" t="s">
        <v>536</v>
      </c>
      <c r="AG1" s="181" t="s">
        <v>538</v>
      </c>
      <c r="AH1" s="181" t="s">
        <v>248</v>
      </c>
      <c r="AI1" s="181" t="s">
        <v>540</v>
      </c>
      <c r="AJ1" s="190" t="s">
        <v>257</v>
      </c>
      <c r="AK1" s="181" t="s">
        <v>542</v>
      </c>
      <c r="AL1" s="181" t="s">
        <v>258</v>
      </c>
      <c r="AM1" s="181" t="s">
        <v>544</v>
      </c>
      <c r="AN1" s="181" t="s">
        <v>546</v>
      </c>
      <c r="AO1" s="181" t="s">
        <v>259</v>
      </c>
      <c r="AP1" s="181" t="s">
        <v>548</v>
      </c>
      <c r="AQ1" s="181" t="s">
        <v>550</v>
      </c>
      <c r="AR1" s="181" t="s">
        <v>260</v>
      </c>
      <c r="AS1" s="181" t="s">
        <v>551</v>
      </c>
      <c r="AT1" s="181" t="s">
        <v>553</v>
      </c>
      <c r="AU1" s="181" t="s">
        <v>554</v>
      </c>
      <c r="AV1" s="181" t="s">
        <v>555</v>
      </c>
      <c r="AW1" s="181" t="s">
        <v>557</v>
      </c>
      <c r="AX1" s="181" t="s">
        <v>559</v>
      </c>
      <c r="AY1" s="181" t="s">
        <v>560</v>
      </c>
      <c r="AZ1" s="181" t="s">
        <v>261</v>
      </c>
      <c r="BA1" s="181" t="s">
        <v>562</v>
      </c>
      <c r="BB1" s="181" t="s">
        <v>564</v>
      </c>
      <c r="BC1" s="181" t="s">
        <v>566</v>
      </c>
      <c r="BD1" s="181" t="s">
        <v>568</v>
      </c>
      <c r="BE1" s="181" t="s">
        <v>570</v>
      </c>
      <c r="BF1" s="181" t="s">
        <v>572</v>
      </c>
      <c r="BG1" s="181" t="s">
        <v>574</v>
      </c>
      <c r="BH1" s="181" t="s">
        <v>576</v>
      </c>
      <c r="BI1" s="181" t="s">
        <v>274</v>
      </c>
      <c r="BJ1" s="181" t="s">
        <v>578</v>
      </c>
      <c r="BK1" s="181" t="s">
        <v>580</v>
      </c>
      <c r="BL1" s="181" t="s">
        <v>582</v>
      </c>
      <c r="BM1" s="181" t="s">
        <v>584</v>
      </c>
      <c r="BN1" s="181" t="s">
        <v>586</v>
      </c>
      <c r="BO1" s="181" t="s">
        <v>588</v>
      </c>
      <c r="BP1" s="181" t="s">
        <v>590</v>
      </c>
      <c r="BQ1" s="181" t="s">
        <v>592</v>
      </c>
      <c r="BR1" s="181" t="s">
        <v>594</v>
      </c>
      <c r="BS1" s="181" t="s">
        <v>596</v>
      </c>
      <c r="BT1" s="190" t="s">
        <v>262</v>
      </c>
      <c r="BU1" s="181" t="s">
        <v>263</v>
      </c>
      <c r="BV1" s="181" t="s">
        <v>598</v>
      </c>
      <c r="BW1" s="181" t="s">
        <v>264</v>
      </c>
      <c r="BX1" s="181" t="s">
        <v>600</v>
      </c>
      <c r="BY1" s="181" t="s">
        <v>602</v>
      </c>
      <c r="BZ1" s="190" t="s">
        <v>265</v>
      </c>
      <c r="CA1" s="181" t="s">
        <v>266</v>
      </c>
      <c r="CB1" s="181" t="s">
        <v>604</v>
      </c>
      <c r="CC1" s="181" t="s">
        <v>267</v>
      </c>
      <c r="CD1" s="181" t="s">
        <v>606</v>
      </c>
      <c r="CE1" s="181" t="s">
        <v>608</v>
      </c>
      <c r="CF1" s="181" t="s">
        <v>610</v>
      </c>
      <c r="CG1" s="190" t="s">
        <v>268</v>
      </c>
      <c r="CH1" s="181" t="s">
        <v>616</v>
      </c>
      <c r="CI1" s="181" t="s">
        <v>618</v>
      </c>
      <c r="CJ1" s="181" t="s">
        <v>269</v>
      </c>
      <c r="CK1" s="181" t="s">
        <v>612</v>
      </c>
      <c r="CL1" s="181" t="s">
        <v>614</v>
      </c>
      <c r="CM1" s="181" t="s">
        <v>270</v>
      </c>
      <c r="CN1" s="181" t="s">
        <v>620</v>
      </c>
      <c r="CO1" s="181" t="s">
        <v>271</v>
      </c>
      <c r="CP1" s="181" t="s">
        <v>621</v>
      </c>
      <c r="CQ1" s="178" t="s">
        <v>275</v>
      </c>
      <c r="CR1" s="190" t="s">
        <v>276</v>
      </c>
      <c r="CS1" s="181" t="s">
        <v>622</v>
      </c>
      <c r="CT1" s="181" t="s">
        <v>623</v>
      </c>
      <c r="CU1" s="181" t="s">
        <v>625</v>
      </c>
      <c r="CV1" s="181" t="s">
        <v>277</v>
      </c>
      <c r="CW1" s="181" t="s">
        <v>627</v>
      </c>
      <c r="CX1" s="181" t="s">
        <v>629</v>
      </c>
      <c r="CY1" s="181" t="s">
        <v>631</v>
      </c>
      <c r="CZ1" s="181" t="s">
        <v>633</v>
      </c>
      <c r="DA1" s="181" t="s">
        <v>635</v>
      </c>
      <c r="DB1" s="181" t="s">
        <v>637</v>
      </c>
      <c r="DC1" s="190" t="s">
        <v>278</v>
      </c>
      <c r="DD1" s="181" t="s">
        <v>279</v>
      </c>
      <c r="DE1" s="181" t="s">
        <v>639</v>
      </c>
      <c r="DF1" s="181" t="s">
        <v>280</v>
      </c>
      <c r="DG1" s="181" t="s">
        <v>641</v>
      </c>
      <c r="DH1" s="181" t="s">
        <v>643</v>
      </c>
      <c r="DI1" s="181" t="s">
        <v>645</v>
      </c>
      <c r="DJ1" s="181" t="s">
        <v>647</v>
      </c>
      <c r="DK1" s="181" t="s">
        <v>649</v>
      </c>
      <c r="DL1" s="181" t="s">
        <v>651</v>
      </c>
      <c r="DM1" s="181" t="s">
        <v>653</v>
      </c>
      <c r="DN1" s="181" t="s">
        <v>281</v>
      </c>
      <c r="DO1" s="181" t="s">
        <v>655</v>
      </c>
      <c r="DP1" s="181" t="s">
        <v>657</v>
      </c>
      <c r="DQ1" s="181" t="s">
        <v>659</v>
      </c>
      <c r="DR1" s="190" t="s">
        <v>282</v>
      </c>
      <c r="DS1" s="181" t="s">
        <v>661</v>
      </c>
      <c r="DT1" s="181" t="s">
        <v>283</v>
      </c>
      <c r="DU1" s="181" t="s">
        <v>663</v>
      </c>
      <c r="DV1" s="181" t="s">
        <v>284</v>
      </c>
      <c r="DW1" s="181" t="s">
        <v>665</v>
      </c>
      <c r="DX1" s="181" t="s">
        <v>667</v>
      </c>
      <c r="DY1" s="181" t="s">
        <v>669</v>
      </c>
      <c r="DZ1" s="181" t="s">
        <v>671</v>
      </c>
      <c r="EA1" s="181" t="s">
        <v>673</v>
      </c>
      <c r="EB1" s="181" t="s">
        <v>675</v>
      </c>
      <c r="EC1" s="181" t="s">
        <v>677</v>
      </c>
      <c r="ED1" s="181" t="s">
        <v>679</v>
      </c>
      <c r="EE1" s="181" t="s">
        <v>681</v>
      </c>
      <c r="EF1" s="181" t="s">
        <v>683</v>
      </c>
      <c r="EG1" s="181" t="s">
        <v>685</v>
      </c>
      <c r="EH1" s="190" t="s">
        <v>285</v>
      </c>
      <c r="EI1" s="181" t="s">
        <v>687</v>
      </c>
      <c r="EJ1" s="181" t="s">
        <v>286</v>
      </c>
      <c r="EK1" s="181" t="s">
        <v>689</v>
      </c>
      <c r="EL1" s="181" t="s">
        <v>691</v>
      </c>
      <c r="EM1" s="181" t="s">
        <v>287</v>
      </c>
      <c r="EN1" s="181" t="s">
        <v>693</v>
      </c>
      <c r="EO1" s="181" t="s">
        <v>695</v>
      </c>
      <c r="EP1" s="181" t="s">
        <v>288</v>
      </c>
      <c r="EQ1" s="181" t="s">
        <v>697</v>
      </c>
      <c r="ER1" s="181" t="s">
        <v>699</v>
      </c>
      <c r="ES1" s="181" t="s">
        <v>701</v>
      </c>
      <c r="ET1" s="181" t="s">
        <v>289</v>
      </c>
      <c r="EU1" s="181" t="s">
        <v>703</v>
      </c>
      <c r="EV1" s="181" t="s">
        <v>705</v>
      </c>
      <c r="EW1" s="190" t="s">
        <v>290</v>
      </c>
      <c r="EX1" s="181" t="s">
        <v>291</v>
      </c>
      <c r="EY1" s="181" t="s">
        <v>707</v>
      </c>
      <c r="EZ1" s="181" t="s">
        <v>709</v>
      </c>
      <c r="FA1" s="181" t="s">
        <v>711</v>
      </c>
      <c r="FB1" s="181" t="s">
        <v>713</v>
      </c>
      <c r="FC1" s="181" t="s">
        <v>292</v>
      </c>
      <c r="FD1" s="181" t="s">
        <v>715</v>
      </c>
      <c r="FE1" s="181" t="s">
        <v>717</v>
      </c>
      <c r="FF1" s="181" t="s">
        <v>719</v>
      </c>
      <c r="FG1" s="181" t="s">
        <v>721</v>
      </c>
      <c r="FH1" s="181" t="s">
        <v>723</v>
      </c>
      <c r="FI1" s="181" t="s">
        <v>293</v>
      </c>
      <c r="FJ1" s="181" t="s">
        <v>726</v>
      </c>
      <c r="FK1" s="181" t="s">
        <v>294</v>
      </c>
      <c r="FL1" s="181" t="s">
        <v>729</v>
      </c>
      <c r="FM1" s="181" t="s">
        <v>730</v>
      </c>
      <c r="FN1" s="181" t="s">
        <v>732</v>
      </c>
      <c r="FO1" s="181" t="s">
        <v>295</v>
      </c>
      <c r="FP1" s="181" t="s">
        <v>735</v>
      </c>
      <c r="FQ1" s="181" t="s">
        <v>736</v>
      </c>
      <c r="FR1" s="181" t="s">
        <v>738</v>
      </c>
      <c r="FS1" s="181" t="s">
        <v>296</v>
      </c>
      <c r="FT1" s="181" t="s">
        <v>741</v>
      </c>
      <c r="FU1" s="181" t="s">
        <v>743</v>
      </c>
      <c r="FV1" s="181" t="s">
        <v>745</v>
      </c>
      <c r="FW1" s="190" t="s">
        <v>297</v>
      </c>
      <c r="FX1" s="190" t="s">
        <v>298</v>
      </c>
      <c r="FY1" s="181" t="s">
        <v>304</v>
      </c>
      <c r="FZ1" s="181" t="s">
        <v>747</v>
      </c>
      <c r="GA1" s="181" t="s">
        <v>749</v>
      </c>
      <c r="GB1" s="181" t="s">
        <v>751</v>
      </c>
      <c r="GC1" s="181" t="s">
        <v>753</v>
      </c>
      <c r="GD1" s="181" t="s">
        <v>755</v>
      </c>
      <c r="GE1" s="181" t="s">
        <v>757</v>
      </c>
      <c r="GF1" s="190" t="s">
        <v>299</v>
      </c>
      <c r="GG1" s="181" t="s">
        <v>305</v>
      </c>
      <c r="GH1" s="181" t="s">
        <v>759</v>
      </c>
      <c r="GI1" s="181" t="s">
        <v>761</v>
      </c>
      <c r="GJ1" s="181" t="s">
        <v>762</v>
      </c>
      <c r="GK1" s="181" t="s">
        <v>306</v>
      </c>
      <c r="GL1" s="181" t="s">
        <v>765</v>
      </c>
      <c r="GM1" s="181" t="s">
        <v>766</v>
      </c>
      <c r="GN1" s="190" t="s">
        <v>300</v>
      </c>
      <c r="GO1" s="181" t="s">
        <v>301</v>
      </c>
      <c r="GP1" s="181" t="s">
        <v>768</v>
      </c>
      <c r="GQ1" s="181" t="s">
        <v>770</v>
      </c>
      <c r="GR1" s="181" t="s">
        <v>772</v>
      </c>
      <c r="GS1" s="181" t="s">
        <v>774</v>
      </c>
      <c r="GT1" s="181" t="s">
        <v>776</v>
      </c>
      <c r="GU1" s="190" t="s">
        <v>302</v>
      </c>
      <c r="GV1" s="181" t="s">
        <v>303</v>
      </c>
      <c r="GW1" s="181" t="s">
        <v>778</v>
      </c>
      <c r="GX1" s="181" t="s">
        <v>780</v>
      </c>
      <c r="GY1" s="181" t="s">
        <v>782</v>
      </c>
      <c r="GZ1" s="181" t="s">
        <v>784</v>
      </c>
      <c r="HA1" s="181" t="s">
        <v>786</v>
      </c>
      <c r="HB1" s="181" t="s">
        <v>788</v>
      </c>
      <c r="HC1" s="178" t="s">
        <v>307</v>
      </c>
      <c r="HD1" s="190" t="s">
        <v>308</v>
      </c>
      <c r="HE1" s="181" t="s">
        <v>309</v>
      </c>
      <c r="HF1" s="181" t="s">
        <v>790</v>
      </c>
      <c r="HG1" s="181" t="s">
        <v>792</v>
      </c>
      <c r="HH1" s="181" t="s">
        <v>794</v>
      </c>
      <c r="HI1" s="181" t="s">
        <v>796</v>
      </c>
      <c r="HJ1" s="181" t="s">
        <v>310</v>
      </c>
      <c r="HK1" s="181" t="s">
        <v>799</v>
      </c>
      <c r="HL1" s="181" t="s">
        <v>327</v>
      </c>
      <c r="HM1" s="181" t="s">
        <v>837</v>
      </c>
      <c r="HN1" s="181" t="s">
        <v>839</v>
      </c>
      <c r="HO1" s="181" t="s">
        <v>841</v>
      </c>
      <c r="HP1" s="190" t="s">
        <v>311</v>
      </c>
      <c r="HQ1" s="181" t="s">
        <v>801</v>
      </c>
      <c r="HR1" s="181" t="s">
        <v>803</v>
      </c>
      <c r="HS1" s="181" t="s">
        <v>312</v>
      </c>
      <c r="HT1" s="181" t="s">
        <v>806</v>
      </c>
      <c r="HU1" s="181" t="s">
        <v>808</v>
      </c>
      <c r="HV1" s="181" t="s">
        <v>809</v>
      </c>
      <c r="HW1" s="181" t="s">
        <v>811</v>
      </c>
      <c r="HX1" s="190" t="s">
        <v>313</v>
      </c>
      <c r="HY1" s="181" t="s">
        <v>813</v>
      </c>
      <c r="HZ1" s="181" t="s">
        <v>815</v>
      </c>
      <c r="IA1" s="181" t="s">
        <v>817</v>
      </c>
      <c r="IB1" s="181" t="s">
        <v>314</v>
      </c>
      <c r="IC1" s="181" t="s">
        <v>819</v>
      </c>
      <c r="ID1" s="181" t="s">
        <v>821</v>
      </c>
      <c r="IE1" s="181" t="s">
        <v>315</v>
      </c>
      <c r="IF1" s="181" t="s">
        <v>823</v>
      </c>
      <c r="IG1" s="181" t="s">
        <v>825</v>
      </c>
      <c r="IH1" s="181" t="s">
        <v>316</v>
      </c>
      <c r="II1" s="181" t="s">
        <v>827</v>
      </c>
      <c r="IJ1" s="181" t="s">
        <v>829</v>
      </c>
      <c r="IK1" s="181" t="s">
        <v>831</v>
      </c>
      <c r="IL1" s="181" t="s">
        <v>833</v>
      </c>
      <c r="IM1" s="181" t="s">
        <v>317</v>
      </c>
      <c r="IN1" s="181" t="s">
        <v>835</v>
      </c>
      <c r="IO1" s="190" t="s">
        <v>318</v>
      </c>
      <c r="IP1" s="181" t="s">
        <v>843</v>
      </c>
      <c r="IQ1" s="181" t="s">
        <v>845</v>
      </c>
      <c r="IR1" s="181" t="s">
        <v>319</v>
      </c>
      <c r="IS1" s="181" t="s">
        <v>847</v>
      </c>
      <c r="IT1" s="181" t="s">
        <v>849</v>
      </c>
      <c r="IU1" s="181" t="s">
        <v>851</v>
      </c>
      <c r="IV1" s="190" t="s">
        <v>320</v>
      </c>
      <c r="IW1" s="181" t="s">
        <v>853</v>
      </c>
      <c r="IX1" s="181" t="s">
        <v>321</v>
      </c>
      <c r="IY1" s="181" t="s">
        <v>856</v>
      </c>
      <c r="IZ1" s="181" t="s">
        <v>858</v>
      </c>
      <c r="JA1" s="181" t="s">
        <v>860</v>
      </c>
      <c r="JB1" s="181" t="s">
        <v>862</v>
      </c>
      <c r="JC1" s="181" t="s">
        <v>864</v>
      </c>
      <c r="JD1" s="181" t="s">
        <v>866</v>
      </c>
      <c r="JE1" s="181" t="s">
        <v>322</v>
      </c>
      <c r="JF1" s="181" t="s">
        <v>869</v>
      </c>
      <c r="JG1" s="181" t="s">
        <v>871</v>
      </c>
      <c r="JH1" s="181" t="s">
        <v>873</v>
      </c>
      <c r="JI1" s="181" t="s">
        <v>875</v>
      </c>
      <c r="JJ1" s="181" t="s">
        <v>877</v>
      </c>
      <c r="JK1" s="181" t="s">
        <v>879</v>
      </c>
      <c r="JL1" s="181" t="s">
        <v>881</v>
      </c>
      <c r="JM1" s="181" t="s">
        <v>883</v>
      </c>
      <c r="JN1" s="181" t="s">
        <v>323</v>
      </c>
      <c r="JO1" s="181" t="s">
        <v>886</v>
      </c>
      <c r="JP1" s="181" t="s">
        <v>888</v>
      </c>
      <c r="JQ1" s="181" t="s">
        <v>890</v>
      </c>
      <c r="JR1" s="181" t="s">
        <v>892</v>
      </c>
      <c r="JS1" s="181" t="s">
        <v>893</v>
      </c>
      <c r="JT1" s="181" t="s">
        <v>895</v>
      </c>
      <c r="JU1" s="181" t="s">
        <v>897</v>
      </c>
      <c r="JV1" s="181" t="s">
        <v>899</v>
      </c>
      <c r="JW1" s="181" t="s">
        <v>901</v>
      </c>
      <c r="JX1" s="181" t="s">
        <v>903</v>
      </c>
      <c r="JY1" s="181" t="s">
        <v>905</v>
      </c>
      <c r="JZ1" s="181" t="s">
        <v>907</v>
      </c>
      <c r="KA1" s="181" t="s">
        <v>909</v>
      </c>
      <c r="KB1" s="181" t="s">
        <v>911</v>
      </c>
      <c r="KC1" s="181" t="s">
        <v>913</v>
      </c>
      <c r="KD1" s="181" t="s">
        <v>915</v>
      </c>
      <c r="KE1" s="181" t="s">
        <v>917</v>
      </c>
      <c r="KF1" s="181" t="s">
        <v>919</v>
      </c>
      <c r="KG1" s="181" t="s">
        <v>921</v>
      </c>
      <c r="KH1" s="181" t="s">
        <v>923</v>
      </c>
      <c r="KI1" s="181" t="s">
        <v>925</v>
      </c>
      <c r="KJ1" s="181" t="s">
        <v>927</v>
      </c>
      <c r="KK1" s="181" t="s">
        <v>929</v>
      </c>
      <c r="KL1" s="181" t="s">
        <v>931</v>
      </c>
      <c r="KM1" s="181" t="s">
        <v>933</v>
      </c>
      <c r="KN1" s="181" t="s">
        <v>935</v>
      </c>
      <c r="KO1" s="190" t="s">
        <v>324</v>
      </c>
      <c r="KP1" s="181" t="s">
        <v>937</v>
      </c>
      <c r="KQ1" s="181" t="s">
        <v>325</v>
      </c>
      <c r="KR1" s="181" t="s">
        <v>940</v>
      </c>
      <c r="KS1" s="181" t="s">
        <v>942</v>
      </c>
      <c r="KT1" s="181" t="s">
        <v>944</v>
      </c>
      <c r="KU1" s="181" t="s">
        <v>946</v>
      </c>
      <c r="KV1" s="181" t="s">
        <v>326</v>
      </c>
      <c r="KW1" s="181" t="s">
        <v>949</v>
      </c>
      <c r="KX1" s="181" t="s">
        <v>951</v>
      </c>
      <c r="KY1" s="181" t="s">
        <v>953</v>
      </c>
      <c r="KZ1" s="181" t="s">
        <v>955</v>
      </c>
      <c r="LA1" s="181" t="s">
        <v>957</v>
      </c>
      <c r="LB1" s="181" t="s">
        <v>959</v>
      </c>
      <c r="LC1" s="181" t="s">
        <v>961</v>
      </c>
      <c r="LD1" s="178" t="s">
        <v>328</v>
      </c>
      <c r="LE1" s="190" t="s">
        <v>329</v>
      </c>
      <c r="LF1" s="181" t="s">
        <v>330</v>
      </c>
      <c r="LG1" s="181" t="s">
        <v>344</v>
      </c>
      <c r="LH1" s="181" t="s">
        <v>963</v>
      </c>
      <c r="LI1" s="181" t="s">
        <v>965</v>
      </c>
      <c r="LJ1" s="181" t="s">
        <v>967</v>
      </c>
      <c r="LK1" s="181" t="s">
        <v>969</v>
      </c>
      <c r="LL1" s="181" t="s">
        <v>345</v>
      </c>
      <c r="LM1" s="181" t="s">
        <v>971</v>
      </c>
      <c r="LN1" s="181" t="s">
        <v>346</v>
      </c>
      <c r="LO1" s="181" t="s">
        <v>973</v>
      </c>
      <c r="LP1" s="181" t="s">
        <v>331</v>
      </c>
      <c r="LQ1" s="181" t="s">
        <v>975</v>
      </c>
      <c r="LR1" s="181" t="s">
        <v>347</v>
      </c>
      <c r="LS1" s="181" t="s">
        <v>977</v>
      </c>
      <c r="LT1" s="181" t="s">
        <v>979</v>
      </c>
      <c r="LU1" s="181" t="s">
        <v>348</v>
      </c>
      <c r="LV1" s="190" t="s">
        <v>332</v>
      </c>
      <c r="LW1" s="181" t="s">
        <v>333</v>
      </c>
      <c r="LX1" s="181" t="s">
        <v>981</v>
      </c>
      <c r="LY1" s="181" t="s">
        <v>983</v>
      </c>
      <c r="LZ1" s="181" t="s">
        <v>984</v>
      </c>
      <c r="MA1" s="181" t="s">
        <v>986</v>
      </c>
      <c r="MB1" s="181" t="s">
        <v>987</v>
      </c>
      <c r="MC1" s="181" t="s">
        <v>989</v>
      </c>
      <c r="MD1" s="181" t="s">
        <v>991</v>
      </c>
      <c r="ME1" s="181" t="s">
        <v>993</v>
      </c>
      <c r="MF1" s="181" t="s">
        <v>995</v>
      </c>
      <c r="MG1" s="181" t="s">
        <v>334</v>
      </c>
      <c r="MH1" s="181" t="s">
        <v>998</v>
      </c>
      <c r="MI1" s="181" t="s">
        <v>999</v>
      </c>
      <c r="MJ1" s="181" t="s">
        <v>1001</v>
      </c>
      <c r="MK1" s="181" t="s">
        <v>335</v>
      </c>
      <c r="ML1" s="181" t="s">
        <v>1004</v>
      </c>
      <c r="MM1" s="181" t="s">
        <v>1005</v>
      </c>
      <c r="MN1" s="181" t="s">
        <v>1007</v>
      </c>
      <c r="MO1" s="181" t="s">
        <v>1009</v>
      </c>
      <c r="MP1" s="181" t="s">
        <v>336</v>
      </c>
      <c r="MQ1" s="181" t="s">
        <v>1012</v>
      </c>
      <c r="MR1" s="181" t="s">
        <v>1014</v>
      </c>
      <c r="MS1" s="181" t="s">
        <v>1016</v>
      </c>
      <c r="MT1" s="181" t="s">
        <v>1018</v>
      </c>
      <c r="MU1" s="181" t="s">
        <v>337</v>
      </c>
      <c r="MV1" s="181" t="s">
        <v>1021</v>
      </c>
      <c r="MW1" s="181" t="s">
        <v>1023</v>
      </c>
      <c r="MX1" s="181" t="s">
        <v>1025</v>
      </c>
      <c r="MY1" s="181" t="s">
        <v>1027</v>
      </c>
      <c r="MZ1" s="181" t="s">
        <v>1029</v>
      </c>
      <c r="NA1" s="181" t="s">
        <v>1031</v>
      </c>
      <c r="NB1" s="181" t="s">
        <v>1033</v>
      </c>
      <c r="NC1" s="181" t="s">
        <v>1035</v>
      </c>
      <c r="ND1" s="181" t="s">
        <v>1037</v>
      </c>
      <c r="NE1" s="181" t="s">
        <v>1039</v>
      </c>
      <c r="NF1" s="181" t="s">
        <v>1041</v>
      </c>
      <c r="NG1" s="181" t="s">
        <v>1042</v>
      </c>
      <c r="NH1" s="190" t="s">
        <v>338</v>
      </c>
      <c r="NI1" s="181" t="s">
        <v>339</v>
      </c>
      <c r="NJ1" s="181" t="s">
        <v>1044</v>
      </c>
      <c r="NK1" s="181" t="s">
        <v>1046</v>
      </c>
      <c r="NL1" s="181" t="s">
        <v>1048</v>
      </c>
      <c r="NM1" s="181" t="s">
        <v>1050</v>
      </c>
      <c r="NN1" s="190" t="s">
        <v>340</v>
      </c>
      <c r="NO1" s="181" t="s">
        <v>341</v>
      </c>
      <c r="NP1" s="181" t="s">
        <v>1051</v>
      </c>
      <c r="NQ1" s="181" t="s">
        <v>342</v>
      </c>
      <c r="NR1" s="181" t="s">
        <v>1053</v>
      </c>
      <c r="NS1" s="181" t="s">
        <v>1055</v>
      </c>
      <c r="NT1" s="181" t="s">
        <v>343</v>
      </c>
      <c r="NU1" s="181" t="s">
        <v>1057</v>
      </c>
      <c r="NV1" s="178" t="s">
        <v>349</v>
      </c>
      <c r="NW1" s="190" t="s">
        <v>350</v>
      </c>
      <c r="NX1" s="181" t="s">
        <v>351</v>
      </c>
      <c r="NY1" s="181" t="s">
        <v>1060</v>
      </c>
      <c r="NZ1" s="181" t="s">
        <v>1062</v>
      </c>
      <c r="OA1" s="181" t="s">
        <v>352</v>
      </c>
      <c r="OB1" s="181" t="s">
        <v>362</v>
      </c>
      <c r="OC1" s="181" t="s">
        <v>1064</v>
      </c>
      <c r="OD1" s="181" t="s">
        <v>1066</v>
      </c>
      <c r="OE1" s="181" t="s">
        <v>1068</v>
      </c>
      <c r="OF1" s="181" t="s">
        <v>1070</v>
      </c>
      <c r="OG1" s="181" t="s">
        <v>1072</v>
      </c>
      <c r="OH1" s="181" t="s">
        <v>1074</v>
      </c>
      <c r="OI1" s="181" t="s">
        <v>1076</v>
      </c>
      <c r="OJ1" s="181" t="s">
        <v>1078</v>
      </c>
      <c r="OK1" s="181" t="s">
        <v>1080</v>
      </c>
      <c r="OL1" s="181" t="s">
        <v>1082</v>
      </c>
      <c r="OM1" s="181" t="s">
        <v>1084</v>
      </c>
      <c r="ON1" s="181" t="s">
        <v>1086</v>
      </c>
      <c r="OO1" s="181" t="s">
        <v>1088</v>
      </c>
      <c r="OP1" s="181" t="s">
        <v>1090</v>
      </c>
      <c r="OQ1" s="181" t="s">
        <v>1092</v>
      </c>
      <c r="OR1" s="181" t="s">
        <v>1094</v>
      </c>
      <c r="OS1" s="181" t="s">
        <v>1096</v>
      </c>
      <c r="OT1" s="181" t="s">
        <v>1098</v>
      </c>
      <c r="OU1" s="181" t="s">
        <v>1100</v>
      </c>
      <c r="OV1" s="181" t="s">
        <v>1102</v>
      </c>
      <c r="OW1" s="181" t="s">
        <v>1104</v>
      </c>
      <c r="OX1" s="181" t="s">
        <v>1106</v>
      </c>
      <c r="OY1" s="181" t="s">
        <v>363</v>
      </c>
      <c r="OZ1" s="181" t="s">
        <v>1109</v>
      </c>
      <c r="PA1" s="181" t="s">
        <v>1111</v>
      </c>
      <c r="PB1" s="181" t="s">
        <v>1112</v>
      </c>
      <c r="PC1" s="181" t="s">
        <v>1114</v>
      </c>
      <c r="PD1" s="181" t="s">
        <v>1116</v>
      </c>
      <c r="PE1" s="181" t="s">
        <v>1118</v>
      </c>
      <c r="PF1" s="181" t="s">
        <v>1120</v>
      </c>
      <c r="PG1" s="181" t="s">
        <v>1122</v>
      </c>
      <c r="PH1" s="181" t="s">
        <v>1124</v>
      </c>
      <c r="PI1" s="181" t="s">
        <v>1126</v>
      </c>
      <c r="PJ1" s="181" t="s">
        <v>1128</v>
      </c>
      <c r="PK1" s="181" t="s">
        <v>1130</v>
      </c>
      <c r="PL1" s="181" t="s">
        <v>1132</v>
      </c>
      <c r="PM1" s="181" t="s">
        <v>1134</v>
      </c>
      <c r="PN1" s="181" t="s">
        <v>1136</v>
      </c>
      <c r="PO1" s="181" t="s">
        <v>1138</v>
      </c>
      <c r="PP1" s="181" t="s">
        <v>1140</v>
      </c>
      <c r="PQ1" s="181" t="s">
        <v>1142</v>
      </c>
      <c r="PR1" s="181" t="s">
        <v>1144</v>
      </c>
      <c r="PS1" s="181" t="s">
        <v>1146</v>
      </c>
      <c r="PT1" s="181" t="s">
        <v>1148</v>
      </c>
      <c r="PU1" s="181" t="s">
        <v>1150</v>
      </c>
      <c r="PV1" s="181" t="s">
        <v>1152</v>
      </c>
      <c r="PW1" s="181" t="s">
        <v>1154</v>
      </c>
      <c r="PX1" s="181" t="s">
        <v>1156</v>
      </c>
      <c r="PY1" s="181" t="s">
        <v>1158</v>
      </c>
      <c r="PZ1" s="181" t="s">
        <v>353</v>
      </c>
      <c r="QA1" s="181" t="s">
        <v>1160</v>
      </c>
      <c r="QB1" s="181" t="s">
        <v>1162</v>
      </c>
      <c r="QC1" s="181" t="s">
        <v>1164</v>
      </c>
      <c r="QD1" s="181" t="s">
        <v>1166</v>
      </c>
      <c r="QE1" s="181" t="s">
        <v>1168</v>
      </c>
      <c r="QF1" s="190" t="s">
        <v>354</v>
      </c>
      <c r="QG1" s="181" t="s">
        <v>355</v>
      </c>
      <c r="QH1" s="181" t="s">
        <v>1170</v>
      </c>
      <c r="QI1" s="181" t="s">
        <v>1172</v>
      </c>
      <c r="QJ1" s="181" t="s">
        <v>1174</v>
      </c>
      <c r="QK1" s="181" t="s">
        <v>1176</v>
      </c>
      <c r="QL1" s="181" t="s">
        <v>1178</v>
      </c>
      <c r="QM1" s="181" t="s">
        <v>1180</v>
      </c>
      <c r="QN1" s="190" t="s">
        <v>356</v>
      </c>
      <c r="QO1" s="181" t="s">
        <v>1182</v>
      </c>
      <c r="QP1" s="181" t="s">
        <v>357</v>
      </c>
      <c r="QQ1" s="181" t="s">
        <v>364</v>
      </c>
      <c r="QR1" s="181" t="s">
        <v>1184</v>
      </c>
      <c r="QS1" s="181" t="s">
        <v>1186</v>
      </c>
      <c r="QT1" s="181" t="s">
        <v>1188</v>
      </c>
      <c r="QU1" s="181" t="s">
        <v>1190</v>
      </c>
      <c r="QV1" s="181" t="s">
        <v>1192</v>
      </c>
      <c r="QW1" s="181" t="s">
        <v>1194</v>
      </c>
      <c r="QX1" s="181" t="s">
        <v>1196</v>
      </c>
      <c r="QY1" s="181" t="s">
        <v>1198</v>
      </c>
      <c r="QZ1" s="181" t="s">
        <v>1200</v>
      </c>
      <c r="RA1" s="181" t="s">
        <v>1202</v>
      </c>
      <c r="RB1" s="181" t="s">
        <v>1204</v>
      </c>
      <c r="RC1" s="181" t="s">
        <v>1206</v>
      </c>
      <c r="RD1" s="181" t="s">
        <v>1208</v>
      </c>
      <c r="RE1" s="181" t="s">
        <v>1210</v>
      </c>
      <c r="RF1" s="190" t="s">
        <v>358</v>
      </c>
      <c r="RG1" s="181" t="s">
        <v>359</v>
      </c>
      <c r="RH1" s="181" t="s">
        <v>1212</v>
      </c>
      <c r="RI1" s="181" t="s">
        <v>1214</v>
      </c>
      <c r="RJ1" s="190" t="s">
        <v>360</v>
      </c>
      <c r="RK1" s="181" t="s">
        <v>361</v>
      </c>
      <c r="RL1" s="181" t="s">
        <v>1216</v>
      </c>
      <c r="RM1" s="181" t="s">
        <v>1217</v>
      </c>
      <c r="RN1" s="181" t="s">
        <v>1218</v>
      </c>
      <c r="RO1" s="181" t="s">
        <v>1219</v>
      </c>
      <c r="RP1" s="181" t="s">
        <v>1221</v>
      </c>
      <c r="RQ1" s="181" t="s">
        <v>1222</v>
      </c>
      <c r="RR1" s="181" t="s">
        <v>1224</v>
      </c>
      <c r="RS1" s="181" t="s">
        <v>1225</v>
      </c>
      <c r="RT1" s="178" t="s">
        <v>365</v>
      </c>
      <c r="RU1" s="190" t="s">
        <v>366</v>
      </c>
      <c r="RV1" s="181" t="s">
        <v>367</v>
      </c>
      <c r="RW1" s="181" t="s">
        <v>1227</v>
      </c>
      <c r="RX1" s="181" t="s">
        <v>1229</v>
      </c>
      <c r="RY1" s="181" t="s">
        <v>368</v>
      </c>
      <c r="RZ1" s="181" t="s">
        <v>1231</v>
      </c>
      <c r="SA1" s="181" t="s">
        <v>1233</v>
      </c>
      <c r="SB1" s="181" t="s">
        <v>1235</v>
      </c>
      <c r="SC1" s="181" t="s">
        <v>1237</v>
      </c>
      <c r="SD1" s="190" t="s">
        <v>369</v>
      </c>
      <c r="SE1" s="181" t="s">
        <v>370</v>
      </c>
      <c r="SF1" s="181" t="s">
        <v>1239</v>
      </c>
      <c r="SG1" s="181" t="s">
        <v>1241</v>
      </c>
      <c r="SH1" s="181" t="s">
        <v>1243</v>
      </c>
      <c r="SI1" s="181" t="s">
        <v>1245</v>
      </c>
      <c r="SJ1" s="181" t="s">
        <v>1247</v>
      </c>
      <c r="SK1" s="181" t="s">
        <v>1249</v>
      </c>
      <c r="SL1" s="181" t="s">
        <v>1251</v>
      </c>
      <c r="SM1" s="181" t="s">
        <v>1253</v>
      </c>
      <c r="SN1" s="181" t="s">
        <v>1255</v>
      </c>
      <c r="SO1" s="181" t="s">
        <v>1257</v>
      </c>
      <c r="SP1" s="181" t="s">
        <v>1259</v>
      </c>
      <c r="SQ1" s="181" t="s">
        <v>1261</v>
      </c>
      <c r="SR1" s="181" t="s">
        <v>1263</v>
      </c>
      <c r="SS1" s="181" t="s">
        <v>1265</v>
      </c>
      <c r="ST1" s="181" t="s">
        <v>1267</v>
      </c>
      <c r="SU1" s="178" t="s">
        <v>371</v>
      </c>
      <c r="SV1" s="190" t="s">
        <v>372</v>
      </c>
      <c r="SW1" s="181" t="s">
        <v>373</v>
      </c>
      <c r="SX1" s="181" t="s">
        <v>1269</v>
      </c>
      <c r="SY1" s="181" t="s">
        <v>1271</v>
      </c>
      <c r="SZ1" s="181" t="s">
        <v>1273</v>
      </c>
      <c r="TA1" s="181" t="s">
        <v>1275</v>
      </c>
      <c r="TB1" s="181" t="s">
        <v>1277</v>
      </c>
      <c r="TC1" s="181" t="s">
        <v>374</v>
      </c>
      <c r="TD1" s="181" t="s">
        <v>1279</v>
      </c>
      <c r="TE1" s="181" t="s">
        <v>1281</v>
      </c>
      <c r="TF1" s="181" t="s">
        <v>1283</v>
      </c>
      <c r="TG1" s="181" t="s">
        <v>1285</v>
      </c>
      <c r="TH1" s="181" t="s">
        <v>1287</v>
      </c>
      <c r="TI1" s="181" t="s">
        <v>1289</v>
      </c>
      <c r="TJ1" s="190" t="s">
        <v>375</v>
      </c>
      <c r="TK1" s="181" t="s">
        <v>376</v>
      </c>
      <c r="TL1" s="181" t="s">
        <v>377</v>
      </c>
      <c r="TM1" s="181" t="s">
        <v>1291</v>
      </c>
      <c r="TN1" s="181" t="s">
        <v>1293</v>
      </c>
      <c r="TO1" s="181" t="s">
        <v>1294</v>
      </c>
      <c r="TP1" s="181" t="s">
        <v>1296</v>
      </c>
      <c r="TQ1" s="181" t="s">
        <v>1298</v>
      </c>
      <c r="TR1" s="181" t="s">
        <v>1300</v>
      </c>
      <c r="TS1" s="181" t="s">
        <v>1302</v>
      </c>
      <c r="TT1" s="181" t="s">
        <v>1304</v>
      </c>
      <c r="TU1" s="181" t="s">
        <v>1306</v>
      </c>
      <c r="TV1" s="181" t="s">
        <v>1308</v>
      </c>
      <c r="TW1" s="181" t="s">
        <v>1310</v>
      </c>
      <c r="TX1" s="181" t="s">
        <v>1312</v>
      </c>
      <c r="TY1" s="181" t="s">
        <v>1314</v>
      </c>
      <c r="TZ1" s="181" t="s">
        <v>1316</v>
      </c>
      <c r="UA1" s="181" t="s">
        <v>1318</v>
      </c>
      <c r="UB1" s="181" t="s">
        <v>1320</v>
      </c>
      <c r="UC1" s="178" t="s">
        <v>1322</v>
      </c>
      <c r="UD1" s="181" t="s">
        <v>1324</v>
      </c>
      <c r="UE1" s="181" t="s">
        <v>1326</v>
      </c>
      <c r="UF1" s="181" t="s">
        <v>1328</v>
      </c>
      <c r="UG1" s="181" t="s">
        <v>1330</v>
      </c>
      <c r="UH1" s="181" t="s">
        <v>1332</v>
      </c>
      <c r="UI1" s="184"/>
    </row>
    <row r="2" spans="1:555" s="122" customFormat="1" hidden="1" x14ac:dyDescent="0.25">
      <c r="A2" s="125" t="s">
        <v>1355</v>
      </c>
      <c r="B2" s="125" t="s">
        <v>1357</v>
      </c>
      <c r="C2" s="125" t="s">
        <v>469</v>
      </c>
      <c r="D2" s="125" t="s">
        <v>1356</v>
      </c>
      <c r="E2" s="125" t="s">
        <v>1358</v>
      </c>
      <c r="F2" s="125" t="s">
        <v>470</v>
      </c>
      <c r="G2" s="125" t="s">
        <v>1359</v>
      </c>
      <c r="H2" s="125" t="s">
        <v>1360</v>
      </c>
      <c r="I2" s="125" t="s">
        <v>1361</v>
      </c>
      <c r="J2" s="125" t="s">
        <v>1443</v>
      </c>
      <c r="K2" s="125" t="s">
        <v>1362</v>
      </c>
      <c r="L2" s="125" t="s">
        <v>1363</v>
      </c>
      <c r="M2" s="125" t="s">
        <v>1364</v>
      </c>
      <c r="N2" s="125" t="s">
        <v>1365</v>
      </c>
      <c r="O2" s="125" t="s">
        <v>1366</v>
      </c>
      <c r="P2" s="122" t="s">
        <v>1468</v>
      </c>
      <c r="Q2" s="122" t="s">
        <v>1503</v>
      </c>
      <c r="S2" s="459" t="str">
        <f>+Presupuesto!D11</f>
        <v>Recurrente</v>
      </c>
      <c r="T2" s="459" t="str">
        <f>+Presupuesto!E11</f>
        <v>Programa / Proyecto 2017</v>
      </c>
      <c r="U2" s="122" t="s">
        <v>392</v>
      </c>
      <c r="V2" s="122" t="s">
        <v>410</v>
      </c>
      <c r="W2" s="122" t="s">
        <v>393</v>
      </c>
      <c r="X2" s="122" t="s">
        <v>394</v>
      </c>
      <c r="Y2" s="122" t="s">
        <v>395</v>
      </c>
      <c r="Z2" s="122" t="s">
        <v>396</v>
      </c>
      <c r="AA2" s="122" t="s">
        <v>397</v>
      </c>
      <c r="AB2" s="122" t="s">
        <v>398</v>
      </c>
      <c r="AC2" s="122" t="s">
        <v>399</v>
      </c>
      <c r="AD2" s="122" t="s">
        <v>400</v>
      </c>
      <c r="AE2" s="122" t="s">
        <v>401</v>
      </c>
      <c r="AF2" s="122" t="s">
        <v>402</v>
      </c>
      <c r="AH2" s="213" t="s">
        <v>418</v>
      </c>
      <c r="AI2" s="213" t="s">
        <v>419</v>
      </c>
      <c r="AJ2" s="213" t="s">
        <v>420</v>
      </c>
      <c r="AK2" s="213" t="s">
        <v>421</v>
      </c>
      <c r="AL2" s="213" t="s">
        <v>422</v>
      </c>
      <c r="AM2" s="213" t="s">
        <v>425</v>
      </c>
      <c r="AN2" s="213" t="s">
        <v>423</v>
      </c>
      <c r="AO2" s="213" t="s">
        <v>424</v>
      </c>
      <c r="AP2" s="213" t="s">
        <v>426</v>
      </c>
      <c r="AQ2" s="213" t="s">
        <v>427</v>
      </c>
      <c r="AR2" s="213" t="s">
        <v>428</v>
      </c>
      <c r="AS2" s="213" t="s">
        <v>429</v>
      </c>
      <c r="AT2" s="213" t="s">
        <v>430</v>
      </c>
      <c r="AU2" s="213" t="s">
        <v>431</v>
      </c>
      <c r="AV2" s="213" t="s">
        <v>432</v>
      </c>
      <c r="AW2" s="213" t="s">
        <v>433</v>
      </c>
      <c r="AX2" s="213" t="s">
        <v>434</v>
      </c>
      <c r="AY2" s="213" t="s">
        <v>435</v>
      </c>
      <c r="AZ2" s="213" t="s">
        <v>436</v>
      </c>
      <c r="BA2" s="213" t="s">
        <v>437</v>
      </c>
      <c r="BB2" s="213" t="s">
        <v>438</v>
      </c>
      <c r="BC2" s="213" t="s">
        <v>439</v>
      </c>
      <c r="BD2" s="213" t="s">
        <v>440</v>
      </c>
      <c r="BE2" s="213" t="s">
        <v>441</v>
      </c>
      <c r="BF2" s="213" t="s">
        <v>442</v>
      </c>
      <c r="BG2" s="213" t="s">
        <v>443</v>
      </c>
      <c r="BH2" s="213" t="s">
        <v>444</v>
      </c>
      <c r="BI2" s="213" t="s">
        <v>445</v>
      </c>
      <c r="BJ2" s="213" t="s">
        <v>446</v>
      </c>
      <c r="BK2" s="213" t="s">
        <v>447</v>
      </c>
      <c r="BL2" s="213" t="s">
        <v>448</v>
      </c>
      <c r="BM2" s="213" t="s">
        <v>449</v>
      </c>
      <c r="BN2" s="213" t="s">
        <v>450</v>
      </c>
      <c r="BO2" s="213" t="s">
        <v>451</v>
      </c>
      <c r="BP2" s="213" t="s">
        <v>452</v>
      </c>
      <c r="BQ2" s="213" t="s">
        <v>453</v>
      </c>
      <c r="BR2" s="213" t="s">
        <v>454</v>
      </c>
      <c r="BS2" s="213" t="s">
        <v>455</v>
      </c>
      <c r="BT2" s="213" t="s">
        <v>456</v>
      </c>
      <c r="BU2" s="213" t="s">
        <v>457</v>
      </c>
    </row>
    <row r="3" spans="1:555" s="122" customFormat="1" hidden="1" x14ac:dyDescent="0.25">
      <c r="A3" s="153"/>
      <c r="B3" s="153"/>
      <c r="C3" s="153"/>
      <c r="D3" s="153"/>
      <c r="E3" s="153"/>
      <c r="F3" s="153"/>
      <c r="G3" s="155"/>
      <c r="H3" s="155"/>
      <c r="I3" s="155"/>
      <c r="J3" s="155"/>
      <c r="K3" s="15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row>
    <row r="5" spans="1:555" ht="60" customHeight="1" x14ac:dyDescent="0.25">
      <c r="C5" s="195" t="s">
        <v>247</v>
      </c>
      <c r="D5" s="460">
        <f>SUMIF(C:C,$C$10,D:D)</f>
        <v>403375</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3"/>
      <c r="C9" s="177"/>
      <c r="D9" s="177"/>
      <c r="E9" s="177"/>
      <c r="F9" s="177"/>
      <c r="G9" s="177"/>
      <c r="H9" s="79"/>
      <c r="I9" s="177"/>
      <c r="J9" s="177"/>
      <c r="K9" s="112"/>
    </row>
    <row r="10" spans="1:555" ht="15.75" thickBot="1" x14ac:dyDescent="0.3">
      <c r="B10" s="93"/>
      <c r="C10" s="29" t="s">
        <v>43</v>
      </c>
      <c r="D10" s="30">
        <f>SUM(G17:G35)</f>
        <v>403375</v>
      </c>
      <c r="E10" s="93"/>
      <c r="F10" s="93"/>
      <c r="G10" s="93"/>
      <c r="H10" s="76"/>
      <c r="I10" s="76"/>
      <c r="J10" s="76"/>
      <c r="K10" s="112"/>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c r="N12" s="153"/>
    </row>
    <row r="13" spans="1:555" ht="15.75" x14ac:dyDescent="0.25">
      <c r="B13" s="93"/>
      <c r="C13" s="202" t="s">
        <v>390</v>
      </c>
      <c r="D13" s="368" t="str">
        <f>'7. Lo Esencial de la Reforma U.'!G12</f>
        <v>2.3.1</v>
      </c>
      <c r="E13" s="93"/>
      <c r="F13" s="93"/>
      <c r="G13" s="93"/>
      <c r="H13" s="76"/>
      <c r="I13" s="76"/>
      <c r="J13" s="76"/>
      <c r="K13" s="112"/>
      <c r="N13" s="153"/>
    </row>
    <row r="14" spans="1:555" ht="18.75" x14ac:dyDescent="0.2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Proceso...'!$G:$H,2,FALSE),IFERROR(VLOOKUP(D13,'12.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U.'!$G:$H,2,0)))))))))))))))))</f>
        <v>2.3.2 a) Campaña "Yo Practico los DDHH en mi Facultad/Carrera", programadas a nivel nacional en las 10 Facultades de Tegucigalpa y en cada Centro Regional y CRAED (Insumos: Refrigerio para 100 personas en cada Centro (24); 5,000 libretas y 5,000 lápices; Viáticos para la Comisionado(a) y Comunicadora a todos los Centros y, de los Delegados y Asistentes a los Centros a su cargo, por 2.5 días)</v>
      </c>
      <c r="D14" s="31"/>
      <c r="E14" s="93"/>
      <c r="F14" s="93"/>
      <c r="G14" s="93"/>
      <c r="H14" s="76"/>
      <c r="I14" s="76"/>
      <c r="J14" s="76"/>
      <c r="K14" s="112"/>
      <c r="N14" s="153"/>
    </row>
    <row r="15" spans="1:555" ht="15.75" thickBot="1" x14ac:dyDescent="0.3">
      <c r="B15" s="93"/>
      <c r="C15" s="70"/>
      <c r="D15" s="31"/>
      <c r="E15" s="93"/>
      <c r="F15" s="93"/>
      <c r="G15" s="93"/>
      <c r="H15" s="76"/>
      <c r="I15" s="76"/>
      <c r="J15" s="76"/>
      <c r="K15" s="112"/>
      <c r="N15" s="153"/>
    </row>
    <row r="16" spans="1:555" ht="32.25" customHeight="1" thickBot="1" x14ac:dyDescent="0.3">
      <c r="B16" s="93"/>
      <c r="C16" s="126" t="s">
        <v>44</v>
      </c>
      <c r="D16" s="129" t="s">
        <v>45</v>
      </c>
      <c r="E16" s="128" t="s">
        <v>55</v>
      </c>
      <c r="F16" s="128" t="s">
        <v>57</v>
      </c>
      <c r="G16" s="127" t="s">
        <v>27</v>
      </c>
      <c r="H16" s="133" t="s">
        <v>129</v>
      </c>
      <c r="I16" s="128" t="s">
        <v>46</v>
      </c>
      <c r="J16" s="128" t="s">
        <v>130</v>
      </c>
      <c r="K16" s="128" t="s">
        <v>408</v>
      </c>
      <c r="L16" s="128" t="s">
        <v>409</v>
      </c>
      <c r="N16" s="153"/>
    </row>
    <row r="17" spans="2:14" ht="15.75" thickBot="1" x14ac:dyDescent="0.3">
      <c r="B17" s="93"/>
      <c r="C17" s="326" t="s">
        <v>47</v>
      </c>
      <c r="D17" s="660"/>
      <c r="E17" s="327"/>
      <c r="F17" s="115">
        <v>30000</v>
      </c>
      <c r="G17" s="626">
        <f t="shared" ref="G17:G22" si="0">E17*F17</f>
        <v>0</v>
      </c>
      <c r="H17" s="565"/>
      <c r="I17" s="116" t="s">
        <v>697</v>
      </c>
      <c r="J17" s="116" t="str">
        <f>VLOOKUP(I17,Presupuesto!$B$11:$C$566,2,0)</f>
        <v>SERVICIOS DE CAPACITACION.</v>
      </c>
      <c r="K17" s="330" t="s">
        <v>1359</v>
      </c>
      <c r="L17" s="116" t="s">
        <v>392</v>
      </c>
      <c r="N17" s="153"/>
    </row>
    <row r="18" spans="2:14" ht="15.75" thickBot="1" x14ac:dyDescent="0.3">
      <c r="B18" s="93"/>
      <c r="C18" s="99" t="s">
        <v>48</v>
      </c>
      <c r="D18" s="661"/>
      <c r="E18" s="200">
        <f>D17</f>
        <v>0</v>
      </c>
      <c r="F18" s="100">
        <v>50</v>
      </c>
      <c r="G18" s="601">
        <f t="shared" si="0"/>
        <v>0</v>
      </c>
      <c r="H18" s="566"/>
      <c r="I18" s="98" t="s">
        <v>715</v>
      </c>
      <c r="J18" s="98" t="str">
        <f>VLOOKUP(I18,Presupuesto!$B$11:$C$566,2,0)</f>
        <v>SERVICIOS DE IMPRENTA PUBLIC.Y REPRODUCCION</v>
      </c>
      <c r="K18" s="330" t="s">
        <v>1359</v>
      </c>
      <c r="L18" s="98" t="s">
        <v>410</v>
      </c>
      <c r="N18" s="153"/>
    </row>
    <row r="19" spans="2:14" ht="15.75" thickBot="1" x14ac:dyDescent="0.3">
      <c r="B19" s="93"/>
      <c r="C19" s="99" t="s">
        <v>49</v>
      </c>
      <c r="D19" s="661"/>
      <c r="E19" s="200">
        <f>D17</f>
        <v>0</v>
      </c>
      <c r="F19" s="100">
        <v>150</v>
      </c>
      <c r="G19" s="601">
        <f t="shared" si="0"/>
        <v>0</v>
      </c>
      <c r="H19" s="566"/>
      <c r="I19" s="98" t="s">
        <v>790</v>
      </c>
      <c r="J19" s="98" t="str">
        <f>VLOOKUP(I19,Presupuesto!$B$11:$C$566,2,0)</f>
        <v>ALIMENTOS B EBIDAS PARA PERSONAS</v>
      </c>
      <c r="K19" s="330" t="s">
        <v>1359</v>
      </c>
      <c r="L19" s="98" t="s">
        <v>394</v>
      </c>
      <c r="N19" s="153"/>
    </row>
    <row r="20" spans="2:14" ht="15.75" thickBot="1" x14ac:dyDescent="0.3">
      <c r="B20" s="93"/>
      <c r="C20" s="99" t="s">
        <v>50</v>
      </c>
      <c r="D20" s="661"/>
      <c r="E20" s="151">
        <v>0</v>
      </c>
      <c r="F20" s="118">
        <v>10000</v>
      </c>
      <c r="G20" s="601">
        <f t="shared" si="0"/>
        <v>0</v>
      </c>
      <c r="H20" s="566"/>
      <c r="I20" s="321" t="s">
        <v>298</v>
      </c>
      <c r="J20" s="98" t="str">
        <f>VLOOKUP(I20,Presupuesto!$B$11:$C$566,2,0)</f>
        <v>PASAJES (26100-00)</v>
      </c>
      <c r="K20" s="330" t="s">
        <v>1359</v>
      </c>
      <c r="L20" s="98" t="s">
        <v>410</v>
      </c>
      <c r="N20" s="153"/>
    </row>
    <row r="21" spans="2:14" ht="15.75" thickBot="1" x14ac:dyDescent="0.3">
      <c r="B21" s="93"/>
      <c r="C21" s="99" t="s">
        <v>415</v>
      </c>
      <c r="D21" s="661"/>
      <c r="E21" s="151">
        <v>0</v>
      </c>
      <c r="F21" s="118">
        <v>250</v>
      </c>
      <c r="G21" s="601">
        <f t="shared" si="0"/>
        <v>0</v>
      </c>
      <c r="H21" s="566"/>
      <c r="I21" s="98" t="s">
        <v>819</v>
      </c>
      <c r="J21" s="98" t="str">
        <f>VLOOKUP(I21,Presupuesto!$B$11:$C$566,2,0)</f>
        <v>PRODUCTOS PAPEL Y CARTON</v>
      </c>
      <c r="K21" s="330" t="s">
        <v>1359</v>
      </c>
      <c r="L21" s="98" t="s">
        <v>410</v>
      </c>
      <c r="N21" s="153"/>
    </row>
    <row r="22" spans="2:14" ht="15.75" thickBot="1" x14ac:dyDescent="0.3">
      <c r="B22" s="93"/>
      <c r="C22" s="99" t="s">
        <v>51</v>
      </c>
      <c r="D22" s="661"/>
      <c r="E22" s="200">
        <f>(D17*25)/500</f>
        <v>0</v>
      </c>
      <c r="F22" s="100">
        <v>85</v>
      </c>
      <c r="G22" s="601">
        <f t="shared" si="0"/>
        <v>0</v>
      </c>
      <c r="H22" s="566"/>
      <c r="I22" s="98" t="s">
        <v>819</v>
      </c>
      <c r="J22" s="98" t="str">
        <f>VLOOKUP(I22,Presupuesto!$B$11:$C$566,2,0)</f>
        <v>PRODUCTOS PAPEL Y CARTON</v>
      </c>
      <c r="K22" s="330" t="s">
        <v>1359</v>
      </c>
      <c r="L22" s="98" t="s">
        <v>410</v>
      </c>
      <c r="N22" s="153"/>
    </row>
    <row r="23" spans="2:14" ht="15.75" thickBot="1" x14ac:dyDescent="0.3">
      <c r="B23" s="93"/>
      <c r="C23" s="573" t="s">
        <v>121</v>
      </c>
      <c r="D23" s="661"/>
      <c r="E23" s="200">
        <v>5000</v>
      </c>
      <c r="F23" s="100">
        <v>7</v>
      </c>
      <c r="G23" s="601">
        <f>E23*F23</f>
        <v>35000</v>
      </c>
      <c r="H23" s="566" t="s">
        <v>1675</v>
      </c>
      <c r="I23" s="98" t="s">
        <v>729</v>
      </c>
      <c r="J23" s="98" t="str">
        <f>VLOOKUP(I23,Presupuesto!$B$11:$C$566,2,0)</f>
        <v>PUBLICIDAD Y PROPAGANDA</v>
      </c>
      <c r="K23" s="330" t="s">
        <v>1359</v>
      </c>
      <c r="L23" s="334" t="s">
        <v>398</v>
      </c>
      <c r="N23" s="153"/>
    </row>
    <row r="24" spans="2:14" ht="15.75" thickBot="1" x14ac:dyDescent="0.3">
      <c r="B24" s="93"/>
      <c r="C24" s="573" t="s">
        <v>1762</v>
      </c>
      <c r="D24" s="661"/>
      <c r="E24" s="200">
        <v>5000</v>
      </c>
      <c r="F24" s="100">
        <v>25</v>
      </c>
      <c r="G24" s="601">
        <f t="shared" ref="G24:G35" si="1">E24*F24</f>
        <v>125000</v>
      </c>
      <c r="H24" s="566" t="s">
        <v>1675</v>
      </c>
      <c r="I24" s="98" t="s">
        <v>729</v>
      </c>
      <c r="J24" s="98" t="str">
        <f>VLOOKUP(I24,Presupuesto!$B$11:$C$566,2,0)</f>
        <v>PUBLICIDAD Y PROPAGANDA</v>
      </c>
      <c r="K24" s="330" t="s">
        <v>1359</v>
      </c>
      <c r="L24" s="334" t="s">
        <v>398</v>
      </c>
      <c r="N24" s="153"/>
    </row>
    <row r="25" spans="2:14" ht="15.75" thickBot="1" x14ac:dyDescent="0.3">
      <c r="B25" s="93"/>
      <c r="C25" s="109" t="s">
        <v>49</v>
      </c>
      <c r="D25" s="661"/>
      <c r="E25" s="212">
        <v>2400</v>
      </c>
      <c r="F25" s="119">
        <v>50</v>
      </c>
      <c r="G25" s="601">
        <f t="shared" si="1"/>
        <v>120000</v>
      </c>
      <c r="H25" s="566" t="s">
        <v>1675</v>
      </c>
      <c r="I25" s="98" t="s">
        <v>790</v>
      </c>
      <c r="J25" s="98" t="str">
        <f>VLOOKUP(I25,Presupuesto!$B$11:$C$566,2,0)</f>
        <v>ALIMENTOS B EBIDAS PARA PERSONAS</v>
      </c>
      <c r="K25" s="330" t="s">
        <v>1359</v>
      </c>
      <c r="L25" s="98" t="s">
        <v>398</v>
      </c>
      <c r="N25" s="153"/>
    </row>
    <row r="26" spans="2:14" s="463" customFormat="1" ht="15.75" thickBot="1" x14ac:dyDescent="0.3">
      <c r="B26" s="93"/>
      <c r="C26" s="109" t="s">
        <v>1758</v>
      </c>
      <c r="D26" s="553">
        <v>1</v>
      </c>
      <c r="E26" s="151">
        <v>1</v>
      </c>
      <c r="F26" s="118">
        <v>5000</v>
      </c>
      <c r="G26" s="601">
        <f t="shared" si="1"/>
        <v>5000</v>
      </c>
      <c r="H26" s="165" t="s">
        <v>1675</v>
      </c>
      <c r="I26" s="146" t="s">
        <v>869</v>
      </c>
      <c r="J26" s="161" t="str">
        <f>VLOOKUP(I26,Presupuesto!$B$11:$C$565,2,0)</f>
        <v>GASOLINA</v>
      </c>
      <c r="K26" s="330" t="s">
        <v>1359</v>
      </c>
      <c r="L26" s="98" t="s">
        <v>398</v>
      </c>
      <c r="N26" s="153"/>
    </row>
    <row r="27" spans="2:14" s="463" customFormat="1" ht="15.75" thickBot="1" x14ac:dyDescent="0.3">
      <c r="B27" s="93"/>
      <c r="C27" s="109"/>
      <c r="D27" s="553"/>
      <c r="E27" s="212"/>
      <c r="F27" s="119"/>
      <c r="G27" s="601">
        <f t="shared" si="1"/>
        <v>0</v>
      </c>
      <c r="H27" s="566"/>
      <c r="I27" s="562" t="s">
        <v>546</v>
      </c>
      <c r="J27" s="161" t="str">
        <f>VLOOKUP(I27,Presupuesto!$B$11:$C$565,2,0)</f>
        <v>ADICIONES</v>
      </c>
      <c r="K27" s="330" t="s">
        <v>1359</v>
      </c>
      <c r="L27" s="563"/>
      <c r="N27" s="153"/>
    </row>
    <row r="28" spans="2:14" s="463" customFormat="1" ht="15.75" thickBot="1" x14ac:dyDescent="0.3">
      <c r="B28" s="93"/>
      <c r="C28" s="220" t="s">
        <v>426</v>
      </c>
      <c r="D28" s="567">
        <v>1</v>
      </c>
      <c r="E28" s="568">
        <f>2.5+2.5</f>
        <v>5</v>
      </c>
      <c r="F28" s="564">
        <f t="shared" ref="F28:F35" si="2">HLOOKUP(C28,$AH$2:$BU$3,2,0)</f>
        <v>2000</v>
      </c>
      <c r="G28" s="601">
        <f t="shared" si="1"/>
        <v>10000</v>
      </c>
      <c r="H28" s="165" t="s">
        <v>1675</v>
      </c>
      <c r="I28" s="569" t="s">
        <v>759</v>
      </c>
      <c r="J28" s="161" t="str">
        <f>VLOOKUP(I28,Presupuesto!$B$11:$C$565,2,0)</f>
        <v>VIATICOS NACIONALES</v>
      </c>
      <c r="K28" s="330" t="s">
        <v>1359</v>
      </c>
      <c r="L28" s="334" t="s">
        <v>398</v>
      </c>
      <c r="N28" s="153"/>
    </row>
    <row r="29" spans="2:14" s="463" customFormat="1" ht="15.75" thickBot="1" x14ac:dyDescent="0.3">
      <c r="B29" s="93"/>
      <c r="C29" s="220" t="s">
        <v>428</v>
      </c>
      <c r="D29" s="570">
        <v>1</v>
      </c>
      <c r="E29" s="568">
        <f>5</f>
        <v>5</v>
      </c>
      <c r="F29" s="564">
        <f t="shared" si="2"/>
        <v>1150</v>
      </c>
      <c r="G29" s="601">
        <f t="shared" si="1"/>
        <v>5750</v>
      </c>
      <c r="H29" s="165" t="s">
        <v>1675</v>
      </c>
      <c r="I29" s="569" t="s">
        <v>759</v>
      </c>
      <c r="J29" s="161" t="str">
        <f>VLOOKUP(I29,Presupuesto!$B$11:$C$565,2,0)</f>
        <v>VIATICOS NACIONALES</v>
      </c>
      <c r="K29" s="330" t="s">
        <v>1359</v>
      </c>
      <c r="L29" s="334" t="s">
        <v>398</v>
      </c>
      <c r="N29" s="153"/>
    </row>
    <row r="30" spans="2:14" s="463" customFormat="1" ht="15.75" thickBot="1" x14ac:dyDescent="0.3">
      <c r="B30" s="93"/>
      <c r="C30" s="220" t="s">
        <v>434</v>
      </c>
      <c r="D30" s="567">
        <v>1</v>
      </c>
      <c r="E30" s="568">
        <v>12.5</v>
      </c>
      <c r="F30" s="564">
        <f t="shared" si="2"/>
        <v>1200</v>
      </c>
      <c r="G30" s="601">
        <f t="shared" si="1"/>
        <v>15000</v>
      </c>
      <c r="H30" s="165" t="s">
        <v>1675</v>
      </c>
      <c r="I30" s="569" t="s">
        <v>759</v>
      </c>
      <c r="J30" s="161" t="str">
        <f>VLOOKUP(I30,Presupuesto!$B$11:$C$565,2,0)</f>
        <v>VIATICOS NACIONALES</v>
      </c>
      <c r="K30" s="330" t="s">
        <v>1359</v>
      </c>
      <c r="L30" s="334" t="s">
        <v>398</v>
      </c>
      <c r="N30" s="153"/>
    </row>
    <row r="31" spans="2:14" s="463" customFormat="1" ht="15.75" thickBot="1" x14ac:dyDescent="0.3">
      <c r="B31" s="93"/>
      <c r="C31" s="220" t="s">
        <v>436</v>
      </c>
      <c r="D31" s="570">
        <v>1</v>
      </c>
      <c r="E31" s="568">
        <v>2.5</v>
      </c>
      <c r="F31" s="564">
        <f t="shared" si="2"/>
        <v>650</v>
      </c>
      <c r="G31" s="601">
        <f t="shared" si="1"/>
        <v>1625</v>
      </c>
      <c r="H31" s="165" t="s">
        <v>1675</v>
      </c>
      <c r="I31" s="569" t="s">
        <v>759</v>
      </c>
      <c r="J31" s="161" t="str">
        <f>VLOOKUP(I31,Presupuesto!$B$11:$C$565,2,0)</f>
        <v>VIATICOS NACIONALES</v>
      </c>
      <c r="K31" s="330" t="s">
        <v>1359</v>
      </c>
      <c r="L31" s="334" t="s">
        <v>398</v>
      </c>
      <c r="N31" s="153"/>
    </row>
    <row r="32" spans="2:14" s="463" customFormat="1" ht="15.75" thickBot="1" x14ac:dyDescent="0.3">
      <c r="B32" s="93"/>
      <c r="C32" s="220" t="s">
        <v>418</v>
      </c>
      <c r="D32" s="570">
        <v>1</v>
      </c>
      <c r="E32" s="568">
        <v>12.5</v>
      </c>
      <c r="F32" s="564">
        <f t="shared" si="2"/>
        <v>2500</v>
      </c>
      <c r="G32" s="601">
        <f t="shared" si="1"/>
        <v>31250</v>
      </c>
      <c r="H32" s="165" t="s">
        <v>1675</v>
      </c>
      <c r="I32" s="569" t="s">
        <v>759</v>
      </c>
      <c r="J32" s="161" t="str">
        <f>VLOOKUP(I32,Presupuesto!$B$11:$C$565,2,0)</f>
        <v>VIATICOS NACIONALES</v>
      </c>
      <c r="K32" s="330" t="s">
        <v>1359</v>
      </c>
      <c r="L32" s="334" t="s">
        <v>398</v>
      </c>
      <c r="N32" s="153"/>
    </row>
    <row r="33" spans="2:14" s="463" customFormat="1" ht="15.75" thickBot="1" x14ac:dyDescent="0.3">
      <c r="B33" s="93"/>
      <c r="C33" s="220" t="s">
        <v>420</v>
      </c>
      <c r="D33" s="570">
        <v>1</v>
      </c>
      <c r="E33" s="568">
        <v>2.5</v>
      </c>
      <c r="F33" s="564">
        <f t="shared" si="2"/>
        <v>1650</v>
      </c>
      <c r="G33" s="601">
        <f t="shared" si="1"/>
        <v>4125</v>
      </c>
      <c r="H33" s="165" t="s">
        <v>1675</v>
      </c>
      <c r="I33" s="569" t="s">
        <v>759</v>
      </c>
      <c r="J33" s="161" t="str">
        <f>VLOOKUP(I33,Presupuesto!$B$11:$C$565,2,0)</f>
        <v>VIATICOS NACIONALES</v>
      </c>
      <c r="K33" s="330" t="s">
        <v>1359</v>
      </c>
      <c r="L33" s="334" t="s">
        <v>398</v>
      </c>
      <c r="N33" s="153"/>
    </row>
    <row r="34" spans="2:14" s="463" customFormat="1" ht="15.75" thickBot="1" x14ac:dyDescent="0.3">
      <c r="B34" s="93"/>
      <c r="C34" s="216" t="s">
        <v>430</v>
      </c>
      <c r="D34" s="571">
        <v>1</v>
      </c>
      <c r="E34" s="572">
        <f>5*2.5+2.5+5+2.5</f>
        <v>22.5</v>
      </c>
      <c r="F34" s="564">
        <f t="shared" si="2"/>
        <v>1750</v>
      </c>
      <c r="G34" s="601">
        <f t="shared" si="1"/>
        <v>39375</v>
      </c>
      <c r="H34" s="165" t="s">
        <v>1675</v>
      </c>
      <c r="I34" s="569" t="s">
        <v>759</v>
      </c>
      <c r="J34" s="161" t="str">
        <f>VLOOKUP(I34,Presupuesto!$B$11:$C$565,2,0)</f>
        <v>VIATICOS NACIONALES</v>
      </c>
      <c r="K34" s="330" t="s">
        <v>1359</v>
      </c>
      <c r="L34" s="334" t="s">
        <v>398</v>
      </c>
      <c r="N34" s="153"/>
    </row>
    <row r="35" spans="2:14" ht="15.75" thickBot="1" x14ac:dyDescent="0.3">
      <c r="B35" s="93"/>
      <c r="C35" s="220" t="s">
        <v>432</v>
      </c>
      <c r="D35" s="217">
        <v>1</v>
      </c>
      <c r="E35" s="331">
        <f>2.5+2.5+5+2.5</f>
        <v>12.5</v>
      </c>
      <c r="F35" s="564">
        <f t="shared" si="2"/>
        <v>900</v>
      </c>
      <c r="G35" s="601">
        <f t="shared" si="1"/>
        <v>11250</v>
      </c>
      <c r="H35" s="165" t="s">
        <v>1675</v>
      </c>
      <c r="I35" s="569" t="s">
        <v>759</v>
      </c>
      <c r="J35" s="161" t="str">
        <f>VLOOKUP(I35,Presupuesto!$B$11:$C$565,2,0)</f>
        <v>VIATICOS NACIONALES</v>
      </c>
      <c r="K35" s="330" t="s">
        <v>1359</v>
      </c>
      <c r="L35" s="334" t="s">
        <v>398</v>
      </c>
    </row>
    <row r="36" spans="2:14" x14ac:dyDescent="0.25">
      <c r="B36" s="93"/>
      <c r="C36" s="93"/>
      <c r="E36" s="112"/>
      <c r="F36" s="112"/>
      <c r="G36" s="602"/>
      <c r="H36" s="174"/>
      <c r="I36" s="112"/>
      <c r="J36" s="112"/>
      <c r="K36" s="112"/>
    </row>
    <row r="37" spans="2:14" ht="15.75" thickBot="1" x14ac:dyDescent="0.3"/>
    <row r="38" spans="2:14" ht="16.5" thickBot="1" x14ac:dyDescent="0.3">
      <c r="C38" s="29" t="s">
        <v>43</v>
      </c>
      <c r="D38" s="30">
        <f>SUM(G45:G54)</f>
        <v>0</v>
      </c>
      <c r="E38" s="93"/>
      <c r="F38" s="93"/>
      <c r="G38" s="595"/>
      <c r="H38" s="76"/>
      <c r="I38" s="603"/>
      <c r="J38" s="76"/>
      <c r="K38" s="112"/>
    </row>
    <row r="39" spans="2:14" x14ac:dyDescent="0.25">
      <c r="C39" s="70"/>
      <c r="D39" s="31"/>
      <c r="E39" s="93"/>
      <c r="F39" s="595"/>
      <c r="G39" s="93"/>
      <c r="H39" s="597"/>
      <c r="I39" s="76"/>
      <c r="J39" s="76"/>
      <c r="K39" s="112"/>
    </row>
    <row r="40" spans="2:14" x14ac:dyDescent="0.25">
      <c r="C40" s="70"/>
      <c r="D40" s="31"/>
      <c r="E40" s="93"/>
      <c r="F40" s="93"/>
      <c r="G40" s="93"/>
      <c r="H40" s="597"/>
      <c r="I40" s="76"/>
      <c r="J40" s="76"/>
      <c r="K40" s="112"/>
    </row>
    <row r="41" spans="2:14" ht="15.75" x14ac:dyDescent="0.25">
      <c r="C41" s="202" t="s">
        <v>390</v>
      </c>
      <c r="D41" s="368"/>
      <c r="E41" s="93"/>
      <c r="F41" s="93"/>
      <c r="G41" s="93"/>
      <c r="H41" s="76"/>
      <c r="I41" s="76"/>
      <c r="J41" s="76"/>
      <c r="K41" s="112"/>
    </row>
    <row r="42" spans="2:14" ht="18.75" x14ac:dyDescent="0.25">
      <c r="C42" s="210" t="e">
        <f>IFERROR(VLOOKUP(D41,'1. Desarrollo e Innov. Curricu.'!$F:$G,2,FALSE),IFERROR(VLOOKUP(D41,'2. Investigación Científica'!$F:$G,2,FALSE),IFERROR(VLOOKUP(D41,'3. Vinculación Univ. Sociedad'!$F:$G,2,FALSE),IFERROR(VLOOKUP(D41,'4. Docencia y Profesorado Univ.'!$F:$G,2,FALSE),IFERROR(VLOOKUP(D41,'5. Estudiantes y Graduados'!$F:$G,2,FALSE),IFERROR(VLOOKUP(D41,'11. Gestion Administrativa'!$F:$G,2,FALSE),IFERROR(VLOOKUP(D41,'13. Gestión Académica'!$F:$G,2,FALSE),IFERROR(VLOOKUP(D41,'9. Asegura. de la Calid. y M'!$F:$G,2,FALSE),IFERROR(VLOOKUP(D41,'6. Gestión del Conocimiento'!$F:$G,2,FALSE),IFERROR(VLOOKUP(D41,'15. Gobernabilidad y Proceso...'!$G:$H,2,FALSE),IFERROR(VLOOKUP(D41,'12. Gestión del Talento Humano'!$F:$G,2,FALSE),IFERROR(VLOOKUP(D41,'14. Internacional... de la E.S.'!$F:$G,2,FALSE),IFERROR(VLOOKUP(D41,'10. Posgrado'!$F:$G,2,FALSE),IFERROR(VLOOKUP(D41,'17. Gestión TIC'!$F:$G,2,FALSE),IFERROR(VLOOKUP(D41,'16. Desa. del Sistema Educ.Sup.'!$F:$G,2,FALSE),IFERROR(VLOOKUP(D41,'8. Cultura de Inno. Insti...'!$F:$G,2,FALSE),VLOOKUP(D41,'7. Lo Esencial de la Reforma U.'!$G:$H,2,0)))))))))))))))))</f>
        <v>#N/A</v>
      </c>
      <c r="D42" s="31"/>
      <c r="E42" s="93"/>
      <c r="F42" s="93"/>
      <c r="G42" s="93"/>
      <c r="H42" s="76"/>
      <c r="I42" s="76"/>
      <c r="J42" s="76"/>
      <c r="K42" s="112"/>
    </row>
    <row r="43" spans="2:14" ht="15.75" thickBot="1" x14ac:dyDescent="0.3">
      <c r="C43" s="70"/>
      <c r="D43" s="31"/>
      <c r="E43" s="93"/>
      <c r="F43" s="93"/>
      <c r="G43" s="93"/>
      <c r="H43" s="76"/>
      <c r="I43" s="76"/>
      <c r="J43" s="76"/>
      <c r="K43" s="112"/>
    </row>
    <row r="44" spans="2:14" ht="15.75" thickBot="1" x14ac:dyDescent="0.3">
      <c r="C44" s="126" t="s">
        <v>44</v>
      </c>
      <c r="D44" s="129" t="s">
        <v>45</v>
      </c>
      <c r="E44" s="128" t="s">
        <v>55</v>
      </c>
      <c r="F44" s="128" t="s">
        <v>57</v>
      </c>
      <c r="G44" s="127" t="s">
        <v>27</v>
      </c>
      <c r="H44" s="133" t="s">
        <v>129</v>
      </c>
      <c r="I44" s="128" t="s">
        <v>46</v>
      </c>
      <c r="J44" s="128" t="s">
        <v>130</v>
      </c>
      <c r="K44" s="128" t="s">
        <v>408</v>
      </c>
      <c r="L44" s="128" t="s">
        <v>409</v>
      </c>
    </row>
    <row r="45" spans="2:14" x14ac:dyDescent="0.25">
      <c r="C45" s="326" t="s">
        <v>47</v>
      </c>
      <c r="D45" s="660"/>
      <c r="E45" s="327"/>
      <c r="F45" s="115">
        <v>30000</v>
      </c>
      <c r="G45" s="328">
        <f t="shared" ref="G45:G53" si="3">E45*F45</f>
        <v>0</v>
      </c>
      <c r="H45" s="329"/>
      <c r="I45" s="116" t="s">
        <v>697</v>
      </c>
      <c r="J45" s="116" t="str">
        <f>VLOOKUP(I45,Presupuesto!$B$11:$C$566,2,0)</f>
        <v>SERVICIOS DE CAPACITACION.</v>
      </c>
      <c r="K45" s="330" t="s">
        <v>1503</v>
      </c>
      <c r="L45" s="116" t="s">
        <v>392</v>
      </c>
    </row>
    <row r="46" spans="2:14" x14ac:dyDescent="0.25">
      <c r="C46" s="99" t="s">
        <v>48</v>
      </c>
      <c r="D46" s="661"/>
      <c r="E46" s="200">
        <f>D45</f>
        <v>0</v>
      </c>
      <c r="F46" s="100">
        <v>50</v>
      </c>
      <c r="G46" s="97">
        <f t="shared" si="3"/>
        <v>0</v>
      </c>
      <c r="H46" s="161"/>
      <c r="I46" s="98" t="s">
        <v>715</v>
      </c>
      <c r="J46" s="98" t="str">
        <f>VLOOKUP(I46,Presupuesto!$B$11:$C$566,2,0)</f>
        <v>SERVICIOS DE IMPRENTA PUBLIC.Y REPRODUCCION</v>
      </c>
      <c r="K46" s="98" t="str">
        <f>$K$45</f>
        <v>Gestión Tecnologías de Información y Comunicación</v>
      </c>
      <c r="L46" s="98" t="s">
        <v>410</v>
      </c>
    </row>
    <row r="47" spans="2:14" x14ac:dyDescent="0.25">
      <c r="C47" s="99" t="s">
        <v>49</v>
      </c>
      <c r="D47" s="661"/>
      <c r="E47" s="200">
        <f>D45</f>
        <v>0</v>
      </c>
      <c r="F47" s="100">
        <v>150</v>
      </c>
      <c r="G47" s="97">
        <f t="shared" si="3"/>
        <v>0</v>
      </c>
      <c r="H47" s="161"/>
      <c r="I47" s="98" t="s">
        <v>790</v>
      </c>
      <c r="J47" s="98" t="str">
        <f>VLOOKUP(I47,Presupuesto!$B$11:$C$566,2,0)</f>
        <v>ALIMENTOS B EBIDAS PARA PERSONAS</v>
      </c>
      <c r="K47" s="98" t="str">
        <f t="shared" ref="K47:K54" si="4">$K$45</f>
        <v>Gestión Tecnologías de Información y Comunicación</v>
      </c>
      <c r="L47" s="98" t="s">
        <v>394</v>
      </c>
    </row>
    <row r="48" spans="2:14" x14ac:dyDescent="0.25">
      <c r="C48" s="99" t="s">
        <v>50</v>
      </c>
      <c r="D48" s="661"/>
      <c r="E48" s="151">
        <v>0</v>
      </c>
      <c r="F48" s="118">
        <v>10000</v>
      </c>
      <c r="G48" s="97">
        <f t="shared" si="3"/>
        <v>0</v>
      </c>
      <c r="H48" s="161"/>
      <c r="I48" s="321" t="s">
        <v>298</v>
      </c>
      <c r="J48" s="98" t="str">
        <f>VLOOKUP(I48,Presupuesto!$B$11:$C$566,2,0)</f>
        <v>PASAJES (26100-00)</v>
      </c>
      <c r="K48" s="98" t="str">
        <f t="shared" si="4"/>
        <v>Gestión Tecnologías de Información y Comunicación</v>
      </c>
      <c r="L48" s="98" t="s">
        <v>410</v>
      </c>
    </row>
    <row r="49" spans="3:12" x14ac:dyDescent="0.25">
      <c r="C49" s="99" t="s">
        <v>415</v>
      </c>
      <c r="D49" s="661"/>
      <c r="E49" s="151">
        <v>0</v>
      </c>
      <c r="F49" s="118">
        <v>250</v>
      </c>
      <c r="G49" s="97">
        <f t="shared" si="3"/>
        <v>0</v>
      </c>
      <c r="H49" s="161"/>
      <c r="I49" s="98" t="s">
        <v>819</v>
      </c>
      <c r="J49" s="98" t="str">
        <f>VLOOKUP(I49,Presupuesto!$B$11:$C$566,2,0)</f>
        <v>PRODUCTOS PAPEL Y CARTON</v>
      </c>
      <c r="K49" s="98" t="str">
        <f t="shared" si="4"/>
        <v>Gestión Tecnologías de Información y Comunicación</v>
      </c>
      <c r="L49" s="98" t="s">
        <v>410</v>
      </c>
    </row>
    <row r="50" spans="3:12" x14ac:dyDescent="0.25">
      <c r="C50" s="99" t="s">
        <v>51</v>
      </c>
      <c r="D50" s="661"/>
      <c r="E50" s="200">
        <f>(D45*25)/500</f>
        <v>0</v>
      </c>
      <c r="F50" s="100">
        <v>85</v>
      </c>
      <c r="G50" s="97">
        <f t="shared" si="3"/>
        <v>0</v>
      </c>
      <c r="H50" s="161"/>
      <c r="I50" s="98" t="s">
        <v>819</v>
      </c>
      <c r="J50" s="98" t="str">
        <f>VLOOKUP(I50,Presupuesto!$B$11:$C$566,2,0)</f>
        <v>PRODUCTOS PAPEL Y CARTON</v>
      </c>
      <c r="K50" s="98" t="str">
        <f t="shared" si="4"/>
        <v>Gestión Tecnologías de Información y Comunicación</v>
      </c>
      <c r="L50" s="98" t="s">
        <v>410</v>
      </c>
    </row>
    <row r="51" spans="3:12" x14ac:dyDescent="0.25">
      <c r="C51" s="99" t="s">
        <v>121</v>
      </c>
      <c r="D51" s="661"/>
      <c r="E51" s="200">
        <f>D45/12</f>
        <v>0</v>
      </c>
      <c r="F51" s="100">
        <v>36</v>
      </c>
      <c r="G51" s="97">
        <f t="shared" si="3"/>
        <v>0</v>
      </c>
      <c r="H51" s="161"/>
      <c r="I51" s="98" t="s">
        <v>940</v>
      </c>
      <c r="J51" s="98" t="str">
        <f>VLOOKUP(I51,Presupuesto!$B$11:$C$566,2,0)</f>
        <v>UTILES DE ESCRITORIO, OFICINA Y ENSE¥ANZA</v>
      </c>
      <c r="K51" s="98" t="str">
        <f t="shared" si="4"/>
        <v>Gestión Tecnologías de Información y Comunicación</v>
      </c>
      <c r="L51" s="98" t="s">
        <v>410</v>
      </c>
    </row>
    <row r="52" spans="3:12" x14ac:dyDescent="0.25">
      <c r="C52" s="99" t="s">
        <v>34</v>
      </c>
      <c r="D52" s="661"/>
      <c r="E52" s="200">
        <f>D45/12</f>
        <v>0</v>
      </c>
      <c r="F52" s="100">
        <v>80</v>
      </c>
      <c r="G52" s="97">
        <f t="shared" si="3"/>
        <v>0</v>
      </c>
      <c r="H52" s="161"/>
      <c r="I52" s="98" t="s">
        <v>940</v>
      </c>
      <c r="J52" s="98" t="str">
        <f>VLOOKUP(I52,Presupuesto!$B$11:$C$566,2,0)</f>
        <v>UTILES DE ESCRITORIO, OFICINA Y ENSE¥ANZA</v>
      </c>
      <c r="K52" s="98" t="str">
        <f t="shared" si="4"/>
        <v>Gestión Tecnologías de Información y Comunicación</v>
      </c>
      <c r="L52" s="98" t="s">
        <v>410</v>
      </c>
    </row>
    <row r="53" spans="3:12" x14ac:dyDescent="0.25">
      <c r="C53" s="109" t="s">
        <v>52</v>
      </c>
      <c r="D53" s="661"/>
      <c r="E53" s="212">
        <v>0</v>
      </c>
      <c r="F53" s="119">
        <v>25</v>
      </c>
      <c r="G53" s="97">
        <f t="shared" si="3"/>
        <v>0</v>
      </c>
      <c r="H53" s="161"/>
      <c r="I53" s="98" t="s">
        <v>940</v>
      </c>
      <c r="J53" s="98" t="str">
        <f>VLOOKUP(I53,Presupuesto!$B$11:$C$566,2,0)</f>
        <v>UTILES DE ESCRITORIO, OFICINA Y ENSE¥ANZA</v>
      </c>
      <c r="K53" s="98" t="str">
        <f t="shared" si="4"/>
        <v>Gestión Tecnologías de Información y Comunicación</v>
      </c>
      <c r="L53" s="98" t="s">
        <v>410</v>
      </c>
    </row>
    <row r="54" spans="3:12" ht="15.75" thickBot="1" x14ac:dyDescent="0.3">
      <c r="C54" s="216" t="s">
        <v>428</v>
      </c>
      <c r="D54" s="217">
        <v>0</v>
      </c>
      <c r="E54" s="331">
        <v>0</v>
      </c>
      <c r="F54" s="104">
        <f>HLOOKUP(C54,$AH$2:$BU$3,2,0)</f>
        <v>1150</v>
      </c>
      <c r="G54" s="105">
        <f>D54*E54*F54</f>
        <v>0</v>
      </c>
      <c r="H54" s="332"/>
      <c r="I54" s="333" t="s">
        <v>299</v>
      </c>
      <c r="J54" s="106" t="str">
        <f>VLOOKUP(I54,Presupuesto!$B$11:$C$566,2,0)</f>
        <v>VIATICOS (26200-00)</v>
      </c>
      <c r="K54" s="334" t="str">
        <f t="shared" si="4"/>
        <v>Gestión Tecnologías de Información y Comunicación</v>
      </c>
      <c r="L54" s="334" t="s">
        <v>410</v>
      </c>
    </row>
    <row r="56" spans="3:12" ht="15.75" thickBot="1" x14ac:dyDescent="0.3"/>
    <row r="57" spans="3:12" ht="15.75" thickBot="1" x14ac:dyDescent="0.3">
      <c r="C57" s="29" t="s">
        <v>43</v>
      </c>
      <c r="D57" s="30">
        <f>SUM(G64:G73)</f>
        <v>0</v>
      </c>
      <c r="E57" s="93"/>
      <c r="F57" s="93"/>
      <c r="G57" s="93"/>
      <c r="H57" s="76"/>
      <c r="I57" s="76"/>
      <c r="J57" s="76"/>
      <c r="K57" s="112"/>
    </row>
    <row r="58" spans="3:12" x14ac:dyDescent="0.25">
      <c r="C58" s="70"/>
      <c r="D58" s="31"/>
      <c r="E58" s="93"/>
      <c r="F58" s="93"/>
      <c r="G58" s="93"/>
      <c r="H58" s="76"/>
      <c r="I58" s="76"/>
      <c r="J58" s="76"/>
      <c r="K58" s="112"/>
    </row>
    <row r="59" spans="3:12" x14ac:dyDescent="0.25">
      <c r="C59" s="70"/>
      <c r="D59" s="31"/>
      <c r="E59" s="93"/>
      <c r="F59" s="93"/>
      <c r="G59" s="93"/>
      <c r="H59" s="76"/>
      <c r="I59" s="76"/>
      <c r="J59" s="76"/>
      <c r="K59" s="112"/>
    </row>
    <row r="60" spans="3:12" ht="15.75" x14ac:dyDescent="0.25">
      <c r="C60" s="202" t="s">
        <v>390</v>
      </c>
      <c r="D60" s="368"/>
      <c r="E60" s="93"/>
      <c r="F60" s="93"/>
      <c r="G60" s="93"/>
      <c r="H60" s="76"/>
      <c r="I60" s="76"/>
      <c r="J60" s="76"/>
      <c r="K60" s="112"/>
    </row>
    <row r="61" spans="3:12" ht="18.75" x14ac:dyDescent="0.25">
      <c r="C61" s="210" t="e">
        <f>IFERROR(VLOOKUP(D60,'1. Desarrollo e Innov. Curricu.'!$F:$G,2,FALSE),IFERROR(VLOOKUP(D60,'2. Investigación Científica'!$F:$G,2,FALSE),IFERROR(VLOOKUP(D60,'3. Vinculación Univ. Sociedad'!$F:$G,2,FALSE),IFERROR(VLOOKUP(D60,'4. Docencia y Profesorado Univ.'!$F:$G,2,FALSE),IFERROR(VLOOKUP(D60,'5. Estudiantes y Graduados'!$F:$G,2,FALSE),IFERROR(VLOOKUP(D60,'11. Gestion Administrativa'!$F:$G,2,FALSE),IFERROR(VLOOKUP(D60,'13. Gestión Académica'!$F:$G,2,FALSE),IFERROR(VLOOKUP(D60,'9. Asegura. de la Calid. y M'!$F:$G,2,FALSE),IFERROR(VLOOKUP(D60,'6. Gestión del Conocimiento'!$F:$G,2,FALSE),IFERROR(VLOOKUP(D60,'15. Gobernabilidad y Proceso...'!$G:$H,2,FALSE),IFERROR(VLOOKUP(D60,'12. Gestión del Talento Humano'!$F:$G,2,FALSE),IFERROR(VLOOKUP(D60,'14. Internacional... de la E.S.'!$F:$G,2,FALSE),IFERROR(VLOOKUP(D60,'10. Posgrado'!$F:$G,2,FALSE),IFERROR(VLOOKUP(D60,'17. Gestión TIC'!$F:$G,2,FALSE),IFERROR(VLOOKUP(D60,'16. Desa. del Sistema Educ.Sup.'!$F:$G,2,FALSE),IFERROR(VLOOKUP(D60,'8. Cultura de Inno. Insti...'!$F:$G,2,FALSE),VLOOKUP(D60,'7. Lo Esencial de la Reforma U.'!$G:$H,2,0)))))))))))))))))</f>
        <v>#N/A</v>
      </c>
      <c r="D61" s="31"/>
      <c r="E61" s="93"/>
      <c r="F61" s="93"/>
      <c r="G61" s="93"/>
      <c r="H61" s="76"/>
      <c r="I61" s="76"/>
      <c r="J61" s="76"/>
      <c r="K61" s="112"/>
    </row>
    <row r="62" spans="3:12" ht="15.75" thickBot="1" x14ac:dyDescent="0.3">
      <c r="C62" s="70"/>
      <c r="D62" s="31"/>
      <c r="E62" s="93"/>
      <c r="F62" s="93"/>
      <c r="G62" s="93"/>
      <c r="H62" s="76"/>
      <c r="I62" s="76"/>
      <c r="J62" s="76"/>
      <c r="K62" s="112"/>
    </row>
    <row r="63" spans="3:12" ht="15.75" thickBot="1" x14ac:dyDescent="0.3">
      <c r="C63" s="126" t="s">
        <v>44</v>
      </c>
      <c r="D63" s="129" t="s">
        <v>45</v>
      </c>
      <c r="E63" s="128" t="s">
        <v>55</v>
      </c>
      <c r="F63" s="128" t="s">
        <v>57</v>
      </c>
      <c r="G63" s="127" t="s">
        <v>27</v>
      </c>
      <c r="H63" s="133" t="s">
        <v>129</v>
      </c>
      <c r="I63" s="128" t="s">
        <v>46</v>
      </c>
      <c r="J63" s="128" t="s">
        <v>130</v>
      </c>
      <c r="K63" s="128" t="s">
        <v>408</v>
      </c>
      <c r="L63" s="128" t="s">
        <v>409</v>
      </c>
    </row>
    <row r="64" spans="3:12" x14ac:dyDescent="0.25">
      <c r="C64" s="326" t="s">
        <v>47</v>
      </c>
      <c r="D64" s="660"/>
      <c r="E64" s="327"/>
      <c r="F64" s="115">
        <v>30000</v>
      </c>
      <c r="G64" s="328">
        <f t="shared" ref="G64:G72" si="5">E64*F64</f>
        <v>0</v>
      </c>
      <c r="H64" s="329"/>
      <c r="I64" s="116" t="s">
        <v>697</v>
      </c>
      <c r="J64" s="116" t="str">
        <f>VLOOKUP(I64,Presupuesto!$B$11:$C$566,2,0)</f>
        <v>SERVICIOS DE CAPACITACION.</v>
      </c>
      <c r="K64" s="330" t="s">
        <v>1503</v>
      </c>
      <c r="L64" s="116" t="s">
        <v>392</v>
      </c>
    </row>
    <row r="65" spans="3:12" x14ac:dyDescent="0.25">
      <c r="C65" s="99" t="s">
        <v>48</v>
      </c>
      <c r="D65" s="661"/>
      <c r="E65" s="200">
        <f>D64</f>
        <v>0</v>
      </c>
      <c r="F65" s="100">
        <v>50</v>
      </c>
      <c r="G65" s="97">
        <f t="shared" si="5"/>
        <v>0</v>
      </c>
      <c r="H65" s="161"/>
      <c r="I65" s="98" t="s">
        <v>715</v>
      </c>
      <c r="J65" s="98" t="str">
        <f>VLOOKUP(I65,Presupuesto!$B$11:$C$566,2,0)</f>
        <v>SERVICIOS DE IMPRENTA PUBLIC.Y REPRODUCCION</v>
      </c>
      <c r="K65" s="98" t="str">
        <f>$K$64</f>
        <v>Gestión Tecnologías de Información y Comunicación</v>
      </c>
      <c r="L65" s="98" t="s">
        <v>410</v>
      </c>
    </row>
    <row r="66" spans="3:12" x14ac:dyDescent="0.25">
      <c r="C66" s="99" t="s">
        <v>49</v>
      </c>
      <c r="D66" s="661"/>
      <c r="E66" s="200">
        <f>D64</f>
        <v>0</v>
      </c>
      <c r="F66" s="100">
        <v>150</v>
      </c>
      <c r="G66" s="97">
        <f t="shared" si="5"/>
        <v>0</v>
      </c>
      <c r="H66" s="161"/>
      <c r="I66" s="98" t="s">
        <v>790</v>
      </c>
      <c r="J66" s="98" t="str">
        <f>VLOOKUP(I66,Presupuesto!$B$11:$C$566,2,0)</f>
        <v>ALIMENTOS B EBIDAS PARA PERSONAS</v>
      </c>
      <c r="K66" s="98" t="str">
        <f>$K$64</f>
        <v>Gestión Tecnologías de Información y Comunicación</v>
      </c>
      <c r="L66" s="98" t="s">
        <v>394</v>
      </c>
    </row>
    <row r="67" spans="3:12" x14ac:dyDescent="0.25">
      <c r="C67" s="99" t="s">
        <v>50</v>
      </c>
      <c r="D67" s="661"/>
      <c r="E67" s="151">
        <v>0</v>
      </c>
      <c r="F67" s="118">
        <v>10000</v>
      </c>
      <c r="G67" s="97">
        <f t="shared" si="5"/>
        <v>0</v>
      </c>
      <c r="H67" s="161"/>
      <c r="I67" s="321" t="s">
        <v>298</v>
      </c>
      <c r="J67" s="98" t="str">
        <f>VLOOKUP(I67,Presupuesto!$B$11:$C$566,2,0)</f>
        <v>PASAJES (26100-00)</v>
      </c>
      <c r="K67" s="98" t="str">
        <f>$K$64</f>
        <v>Gestión Tecnologías de Información y Comunicación</v>
      </c>
      <c r="L67" s="98" t="s">
        <v>410</v>
      </c>
    </row>
    <row r="68" spans="3:12" x14ac:dyDescent="0.25">
      <c r="C68" s="99" t="s">
        <v>415</v>
      </c>
      <c r="D68" s="661"/>
      <c r="E68" s="151">
        <v>0</v>
      </c>
      <c r="F68" s="118">
        <v>250</v>
      </c>
      <c r="G68" s="97">
        <f t="shared" si="5"/>
        <v>0</v>
      </c>
      <c r="H68" s="161"/>
      <c r="I68" s="98" t="s">
        <v>819</v>
      </c>
      <c r="J68" s="98" t="str">
        <f>VLOOKUP(I68,Presupuesto!$B$11:$C$566,2,0)</f>
        <v>PRODUCTOS PAPEL Y CARTON</v>
      </c>
      <c r="K68" s="98" t="str">
        <f t="shared" ref="K68:K73" si="6">$K$64</f>
        <v>Gestión Tecnologías de Información y Comunicación</v>
      </c>
      <c r="L68" s="98" t="s">
        <v>410</v>
      </c>
    </row>
    <row r="69" spans="3:12" x14ac:dyDescent="0.25">
      <c r="C69" s="99" t="s">
        <v>51</v>
      </c>
      <c r="D69" s="661"/>
      <c r="E69" s="200">
        <f>(D64*25)/500</f>
        <v>0</v>
      </c>
      <c r="F69" s="100">
        <v>85</v>
      </c>
      <c r="G69" s="97">
        <f t="shared" si="5"/>
        <v>0</v>
      </c>
      <c r="H69" s="161"/>
      <c r="I69" s="98" t="s">
        <v>819</v>
      </c>
      <c r="J69" s="98" t="str">
        <f>VLOOKUP(I69,Presupuesto!$B$11:$C$566,2,0)</f>
        <v>PRODUCTOS PAPEL Y CARTON</v>
      </c>
      <c r="K69" s="98" t="str">
        <f t="shared" si="6"/>
        <v>Gestión Tecnologías de Información y Comunicación</v>
      </c>
      <c r="L69" s="98" t="s">
        <v>410</v>
      </c>
    </row>
    <row r="70" spans="3:12" x14ac:dyDescent="0.25">
      <c r="C70" s="99" t="s">
        <v>121</v>
      </c>
      <c r="D70" s="661"/>
      <c r="E70" s="200">
        <f>D64/12</f>
        <v>0</v>
      </c>
      <c r="F70" s="100">
        <v>36</v>
      </c>
      <c r="G70" s="97">
        <f t="shared" si="5"/>
        <v>0</v>
      </c>
      <c r="H70" s="161"/>
      <c r="I70" s="98" t="s">
        <v>940</v>
      </c>
      <c r="J70" s="98" t="str">
        <f>VLOOKUP(I70,Presupuesto!$B$11:$C$566,2,0)</f>
        <v>UTILES DE ESCRITORIO, OFICINA Y ENSE¥ANZA</v>
      </c>
      <c r="K70" s="98" t="str">
        <f t="shared" si="6"/>
        <v>Gestión Tecnologías de Información y Comunicación</v>
      </c>
      <c r="L70" s="98" t="s">
        <v>410</v>
      </c>
    </row>
    <row r="71" spans="3:12" x14ac:dyDescent="0.25">
      <c r="C71" s="99" t="s">
        <v>34</v>
      </c>
      <c r="D71" s="661"/>
      <c r="E71" s="200">
        <f>D64/12</f>
        <v>0</v>
      </c>
      <c r="F71" s="100">
        <v>80</v>
      </c>
      <c r="G71" s="97">
        <f t="shared" si="5"/>
        <v>0</v>
      </c>
      <c r="H71" s="161"/>
      <c r="I71" s="98" t="s">
        <v>940</v>
      </c>
      <c r="J71" s="98" t="str">
        <f>VLOOKUP(I71,Presupuesto!$B$11:$C$566,2,0)</f>
        <v>UTILES DE ESCRITORIO, OFICINA Y ENSE¥ANZA</v>
      </c>
      <c r="K71" s="98" t="str">
        <f t="shared" si="6"/>
        <v>Gestión Tecnologías de Información y Comunicación</v>
      </c>
      <c r="L71" s="98" t="s">
        <v>410</v>
      </c>
    </row>
    <row r="72" spans="3:12" x14ac:dyDescent="0.25">
      <c r="C72" s="109" t="s">
        <v>52</v>
      </c>
      <c r="D72" s="661"/>
      <c r="E72" s="212">
        <v>0</v>
      </c>
      <c r="F72" s="119">
        <v>25</v>
      </c>
      <c r="G72" s="97">
        <f t="shared" si="5"/>
        <v>0</v>
      </c>
      <c r="H72" s="161"/>
      <c r="I72" s="98" t="s">
        <v>940</v>
      </c>
      <c r="J72" s="98" t="str">
        <f>VLOOKUP(I72,Presupuesto!$B$11:$C$566,2,0)</f>
        <v>UTILES DE ESCRITORIO, OFICINA Y ENSE¥ANZA</v>
      </c>
      <c r="K72" s="98" t="str">
        <f t="shared" si="6"/>
        <v>Gestión Tecnologías de Información y Comunicación</v>
      </c>
      <c r="L72" s="98" t="s">
        <v>410</v>
      </c>
    </row>
    <row r="73" spans="3:12" ht="15.75" thickBot="1" x14ac:dyDescent="0.3">
      <c r="C73" s="216" t="s">
        <v>428</v>
      </c>
      <c r="D73" s="217">
        <v>0</v>
      </c>
      <c r="E73" s="331">
        <v>0</v>
      </c>
      <c r="F73" s="104">
        <f>HLOOKUP(C73,$AH$2:$BU$3,2,0)</f>
        <v>1150</v>
      </c>
      <c r="G73" s="105">
        <f>D73*E73*F73</f>
        <v>0</v>
      </c>
      <c r="H73" s="332"/>
      <c r="I73" s="333" t="s">
        <v>299</v>
      </c>
      <c r="J73" s="106" t="str">
        <f>VLOOKUP(I73,Presupuesto!$B$11:$C$566,2,0)</f>
        <v>VIATICOS (26200-00)</v>
      </c>
      <c r="K73" s="334" t="str">
        <f t="shared" si="6"/>
        <v>Gestión Tecnologías de Información y Comunicación</v>
      </c>
      <c r="L73" s="334" t="s">
        <v>410</v>
      </c>
    </row>
    <row r="74" spans="3:12" x14ac:dyDescent="0.25">
      <c r="C74" s="93"/>
      <c r="E74" s="112"/>
      <c r="F74" s="112"/>
      <c r="G74" s="112"/>
      <c r="H74" s="174"/>
      <c r="I74" s="112"/>
      <c r="J74" s="112"/>
      <c r="K74" s="112"/>
    </row>
    <row r="75" spans="3:12" ht="15.75" thickBot="1" x14ac:dyDescent="0.3"/>
    <row r="76" spans="3:12" ht="15.75" thickBot="1" x14ac:dyDescent="0.3">
      <c r="C76" s="29" t="s">
        <v>43</v>
      </c>
      <c r="D76" s="30">
        <f>SUM(G83:G92)</f>
        <v>0</v>
      </c>
      <c r="E76" s="93"/>
      <c r="F76" s="93"/>
      <c r="G76" s="93"/>
      <c r="H76" s="76"/>
      <c r="I76" s="76"/>
      <c r="J76" s="76"/>
      <c r="K76" s="112"/>
    </row>
    <row r="77" spans="3:12" x14ac:dyDescent="0.25">
      <c r="C77" s="70"/>
      <c r="D77" s="31"/>
      <c r="E77" s="93"/>
      <c r="F77" s="93"/>
      <c r="G77" s="93"/>
      <c r="H77" s="76"/>
      <c r="I77" s="76"/>
      <c r="J77" s="76"/>
      <c r="K77" s="112"/>
    </row>
    <row r="78" spans="3:12" x14ac:dyDescent="0.25">
      <c r="C78" s="70"/>
      <c r="D78" s="31"/>
      <c r="E78" s="93"/>
      <c r="F78" s="93"/>
      <c r="G78" s="93"/>
      <c r="H78" s="76"/>
      <c r="I78" s="76"/>
      <c r="J78" s="76"/>
      <c r="K78" s="112"/>
    </row>
    <row r="79" spans="3:12" ht="15.75" x14ac:dyDescent="0.25">
      <c r="C79" s="202" t="s">
        <v>390</v>
      </c>
      <c r="D79" s="368"/>
      <c r="E79" s="93"/>
      <c r="F79" s="93"/>
      <c r="G79" s="93"/>
      <c r="H79" s="76"/>
      <c r="I79" s="76"/>
      <c r="J79" s="76"/>
      <c r="K79" s="112"/>
    </row>
    <row r="80" spans="3:12" ht="18.75" x14ac:dyDescent="0.25">
      <c r="C80" s="210" t="e">
        <f>IFERROR(VLOOKUP(D79,'1. Desarrollo e Innov. Curricu.'!$F:$G,2,FALSE),IFERROR(VLOOKUP(D79,'2. Investigación Científica'!$F:$G,2,FALSE),IFERROR(VLOOKUP(D79,'3. Vinculación Univ. Sociedad'!$F:$G,2,FALSE),IFERROR(VLOOKUP(D79,'4. Docencia y Profesorado Univ.'!$F:$G,2,FALSE),IFERROR(VLOOKUP(D79,'5. Estudiantes y Graduados'!$F:$G,2,FALSE),IFERROR(VLOOKUP(D79,'11. Gestion Administrativa'!$F:$G,2,FALSE),IFERROR(VLOOKUP(D79,'13. Gestión Académica'!$F:$G,2,FALSE),IFERROR(VLOOKUP(D79,'9. Asegura. de la Calid. y M'!$F:$G,2,FALSE),IFERROR(VLOOKUP(D79,'6. Gestión del Conocimiento'!$F:$G,2,FALSE),IFERROR(VLOOKUP(D79,'15. Gobernabilidad y Proceso...'!$G:$H,2,FALSE),IFERROR(VLOOKUP(D79,'12. Gestión del Talento Humano'!$F:$G,2,FALSE),IFERROR(VLOOKUP(D79,'14. Internacional... de la E.S.'!$F:$G,2,FALSE),IFERROR(VLOOKUP(D79,'10. Posgrado'!$F:$G,2,FALSE),IFERROR(VLOOKUP(D79,'17. Gestión TIC'!$F:$G,2,FALSE),IFERROR(VLOOKUP(D79,'16. Desa. del Sistema Educ.Sup.'!$F:$G,2,FALSE),IFERROR(VLOOKUP(D79,'8. Cultura de Inno. Insti...'!$F:$G,2,FALSE),VLOOKUP(D79,'7. Lo Esencial de la Reforma U.'!$G:$H,2,0)))))))))))))))))</f>
        <v>#N/A</v>
      </c>
      <c r="D80" s="31"/>
      <c r="E80" s="93"/>
      <c r="F80" s="93"/>
      <c r="G80" s="93"/>
      <c r="H80" s="76"/>
      <c r="I80" s="76"/>
      <c r="J80" s="76"/>
      <c r="K80" s="112"/>
    </row>
    <row r="81" spans="3:12" ht="15.75" thickBot="1" x14ac:dyDescent="0.3">
      <c r="C81" s="70"/>
      <c r="D81" s="31"/>
      <c r="E81" s="93"/>
      <c r="F81" s="93"/>
      <c r="G81" s="93"/>
      <c r="H81" s="76"/>
      <c r="I81" s="76"/>
      <c r="J81" s="76"/>
      <c r="K81" s="112"/>
    </row>
    <row r="82" spans="3:12" ht="15.75" thickBot="1" x14ac:dyDescent="0.3">
      <c r="C82" s="126" t="s">
        <v>44</v>
      </c>
      <c r="D82" s="129" t="s">
        <v>45</v>
      </c>
      <c r="E82" s="128" t="s">
        <v>55</v>
      </c>
      <c r="F82" s="128" t="s">
        <v>57</v>
      </c>
      <c r="G82" s="127" t="s">
        <v>27</v>
      </c>
      <c r="H82" s="133" t="s">
        <v>129</v>
      </c>
      <c r="I82" s="128" t="s">
        <v>46</v>
      </c>
      <c r="J82" s="128" t="s">
        <v>130</v>
      </c>
      <c r="K82" s="128" t="s">
        <v>408</v>
      </c>
      <c r="L82" s="128" t="s">
        <v>409</v>
      </c>
    </row>
    <row r="83" spans="3:12" x14ac:dyDescent="0.25">
      <c r="C83" s="326" t="s">
        <v>47</v>
      </c>
      <c r="D83" s="660"/>
      <c r="E83" s="327"/>
      <c r="F83" s="115">
        <v>30000</v>
      </c>
      <c r="G83" s="328">
        <f t="shared" ref="G83:G91" si="7">E83*F83</f>
        <v>0</v>
      </c>
      <c r="H83" s="329"/>
      <c r="I83" s="116" t="s">
        <v>697</v>
      </c>
      <c r="J83" s="116" t="str">
        <f>VLOOKUP(I83,Presupuesto!$B$11:$C$566,2,0)</f>
        <v>SERVICIOS DE CAPACITACION.</v>
      </c>
      <c r="K83" s="330" t="s">
        <v>1503</v>
      </c>
      <c r="L83" s="116" t="s">
        <v>392</v>
      </c>
    </row>
    <row r="84" spans="3:12" x14ac:dyDescent="0.25">
      <c r="C84" s="99" t="s">
        <v>48</v>
      </c>
      <c r="D84" s="661"/>
      <c r="E84" s="200">
        <f>D83</f>
        <v>0</v>
      </c>
      <c r="F84" s="100">
        <v>50</v>
      </c>
      <c r="G84" s="97">
        <f t="shared" si="7"/>
        <v>0</v>
      </c>
      <c r="H84" s="161"/>
      <c r="I84" s="98" t="s">
        <v>715</v>
      </c>
      <c r="J84" s="98" t="str">
        <f>VLOOKUP(I84,Presupuesto!$B$11:$C$566,2,0)</f>
        <v>SERVICIOS DE IMPRENTA PUBLIC.Y REPRODUCCION</v>
      </c>
      <c r="K84" s="98" t="str">
        <f>$K$83</f>
        <v>Gestión Tecnologías de Información y Comunicación</v>
      </c>
      <c r="L84" s="98" t="s">
        <v>410</v>
      </c>
    </row>
    <row r="85" spans="3:12" x14ac:dyDescent="0.25">
      <c r="C85" s="99" t="s">
        <v>49</v>
      </c>
      <c r="D85" s="661"/>
      <c r="E85" s="200">
        <f>D83</f>
        <v>0</v>
      </c>
      <c r="F85" s="100">
        <v>150</v>
      </c>
      <c r="G85" s="97">
        <f t="shared" si="7"/>
        <v>0</v>
      </c>
      <c r="H85" s="161"/>
      <c r="I85" s="98" t="s">
        <v>790</v>
      </c>
      <c r="J85" s="98" t="str">
        <f>VLOOKUP(I85,Presupuesto!$B$11:$C$566,2,0)</f>
        <v>ALIMENTOS B EBIDAS PARA PERSONAS</v>
      </c>
      <c r="K85" s="98" t="str">
        <f t="shared" ref="K85:K92" si="8">$K$83</f>
        <v>Gestión Tecnologías de Información y Comunicación</v>
      </c>
      <c r="L85" s="98" t="s">
        <v>394</v>
      </c>
    </row>
    <row r="86" spans="3:12" x14ac:dyDescent="0.25">
      <c r="C86" s="99" t="s">
        <v>50</v>
      </c>
      <c r="D86" s="661"/>
      <c r="E86" s="151">
        <v>0</v>
      </c>
      <c r="F86" s="118">
        <v>10000</v>
      </c>
      <c r="G86" s="97">
        <f t="shared" si="7"/>
        <v>0</v>
      </c>
      <c r="H86" s="161"/>
      <c r="I86" s="321" t="s">
        <v>298</v>
      </c>
      <c r="J86" s="98" t="str">
        <f>VLOOKUP(I86,Presupuesto!$B$11:$C$566,2,0)</f>
        <v>PASAJES (26100-00)</v>
      </c>
      <c r="K86" s="98" t="str">
        <f t="shared" si="8"/>
        <v>Gestión Tecnologías de Información y Comunicación</v>
      </c>
      <c r="L86" s="98" t="s">
        <v>410</v>
      </c>
    </row>
    <row r="87" spans="3:12" x14ac:dyDescent="0.25">
      <c r="C87" s="99" t="s">
        <v>415</v>
      </c>
      <c r="D87" s="661"/>
      <c r="E87" s="151">
        <v>0</v>
      </c>
      <c r="F87" s="118">
        <v>250</v>
      </c>
      <c r="G87" s="97">
        <f t="shared" si="7"/>
        <v>0</v>
      </c>
      <c r="H87" s="161"/>
      <c r="I87" s="98" t="s">
        <v>819</v>
      </c>
      <c r="J87" s="98" t="str">
        <f>VLOOKUP(I87,Presupuesto!$B$11:$C$566,2,0)</f>
        <v>PRODUCTOS PAPEL Y CARTON</v>
      </c>
      <c r="K87" s="98" t="str">
        <f t="shared" si="8"/>
        <v>Gestión Tecnologías de Información y Comunicación</v>
      </c>
      <c r="L87" s="98" t="s">
        <v>410</v>
      </c>
    </row>
    <row r="88" spans="3:12" x14ac:dyDescent="0.25">
      <c r="C88" s="99" t="s">
        <v>51</v>
      </c>
      <c r="D88" s="661"/>
      <c r="E88" s="200">
        <f>(D83*25)/500</f>
        <v>0</v>
      </c>
      <c r="F88" s="100">
        <v>85</v>
      </c>
      <c r="G88" s="97">
        <f t="shared" si="7"/>
        <v>0</v>
      </c>
      <c r="H88" s="161"/>
      <c r="I88" s="98" t="s">
        <v>819</v>
      </c>
      <c r="J88" s="98" t="str">
        <f>VLOOKUP(I88,Presupuesto!$B$11:$C$566,2,0)</f>
        <v>PRODUCTOS PAPEL Y CARTON</v>
      </c>
      <c r="K88" s="98" t="str">
        <f t="shared" si="8"/>
        <v>Gestión Tecnologías de Información y Comunicación</v>
      </c>
      <c r="L88" s="98" t="s">
        <v>410</v>
      </c>
    </row>
    <row r="89" spans="3:12" x14ac:dyDescent="0.25">
      <c r="C89" s="99" t="s">
        <v>121</v>
      </c>
      <c r="D89" s="661"/>
      <c r="E89" s="200">
        <f>D83/12</f>
        <v>0</v>
      </c>
      <c r="F89" s="100">
        <v>36</v>
      </c>
      <c r="G89" s="97">
        <f t="shared" si="7"/>
        <v>0</v>
      </c>
      <c r="H89" s="161"/>
      <c r="I89" s="98" t="s">
        <v>940</v>
      </c>
      <c r="J89" s="98" t="str">
        <f>VLOOKUP(I89,Presupuesto!$B$11:$C$566,2,0)</f>
        <v>UTILES DE ESCRITORIO, OFICINA Y ENSE¥ANZA</v>
      </c>
      <c r="K89" s="98" t="str">
        <f t="shared" si="8"/>
        <v>Gestión Tecnologías de Información y Comunicación</v>
      </c>
      <c r="L89" s="98" t="s">
        <v>410</v>
      </c>
    </row>
    <row r="90" spans="3:12" x14ac:dyDescent="0.25">
      <c r="C90" s="99" t="s">
        <v>34</v>
      </c>
      <c r="D90" s="661"/>
      <c r="E90" s="200">
        <f>D83/12</f>
        <v>0</v>
      </c>
      <c r="F90" s="100">
        <v>80</v>
      </c>
      <c r="G90" s="97">
        <f t="shared" si="7"/>
        <v>0</v>
      </c>
      <c r="H90" s="161"/>
      <c r="I90" s="98" t="s">
        <v>940</v>
      </c>
      <c r="J90" s="98" t="str">
        <f>VLOOKUP(I90,Presupuesto!$B$11:$C$566,2,0)</f>
        <v>UTILES DE ESCRITORIO, OFICINA Y ENSE¥ANZA</v>
      </c>
      <c r="K90" s="98" t="str">
        <f t="shared" si="8"/>
        <v>Gestión Tecnologías de Información y Comunicación</v>
      </c>
      <c r="L90" s="98" t="s">
        <v>410</v>
      </c>
    </row>
    <row r="91" spans="3:12" x14ac:dyDescent="0.25">
      <c r="C91" s="109" t="s">
        <v>52</v>
      </c>
      <c r="D91" s="661"/>
      <c r="E91" s="212">
        <v>0</v>
      </c>
      <c r="F91" s="119">
        <v>25</v>
      </c>
      <c r="G91" s="97">
        <f t="shared" si="7"/>
        <v>0</v>
      </c>
      <c r="H91" s="161"/>
      <c r="I91" s="98" t="s">
        <v>940</v>
      </c>
      <c r="J91" s="98" t="str">
        <f>VLOOKUP(I91,Presupuesto!$B$11:$C$566,2,0)</f>
        <v>UTILES DE ESCRITORIO, OFICINA Y ENSE¥ANZA</v>
      </c>
      <c r="K91" s="98" t="str">
        <f t="shared" si="8"/>
        <v>Gestión Tecnologías de Información y Comunicación</v>
      </c>
      <c r="L91" s="98" t="s">
        <v>410</v>
      </c>
    </row>
    <row r="92" spans="3:12" ht="15.75" thickBot="1" x14ac:dyDescent="0.3">
      <c r="C92" s="216" t="s">
        <v>428</v>
      </c>
      <c r="D92" s="217">
        <v>0</v>
      </c>
      <c r="E92" s="331">
        <v>0</v>
      </c>
      <c r="F92" s="104">
        <f>HLOOKUP(C92,$AH$2:$BU$3,2,0)</f>
        <v>1150</v>
      </c>
      <c r="G92" s="105">
        <f>D92*E92*F92</f>
        <v>0</v>
      </c>
      <c r="H92" s="332"/>
      <c r="I92" s="333" t="s">
        <v>299</v>
      </c>
      <c r="J92" s="106" t="str">
        <f>VLOOKUP(I92,Presupuesto!$B$11:$C$566,2,0)</f>
        <v>VIATICOS (26200-00)</v>
      </c>
      <c r="K92" s="334" t="str">
        <f t="shared" si="8"/>
        <v>Gestión Tecnologías de Información y Comunicación</v>
      </c>
      <c r="L92" s="334" t="s">
        <v>410</v>
      </c>
    </row>
    <row r="94" spans="3:12" ht="15.75" thickBot="1" x14ac:dyDescent="0.3"/>
    <row r="95" spans="3:12" ht="15.75" thickBot="1" x14ac:dyDescent="0.3">
      <c r="C95" s="29" t="s">
        <v>43</v>
      </c>
      <c r="D95" s="30">
        <f>SUM(G102:G111)</f>
        <v>0</v>
      </c>
      <c r="E95" s="93"/>
      <c r="F95" s="93"/>
      <c r="G95" s="93"/>
      <c r="H95" s="76"/>
      <c r="I95" s="76"/>
      <c r="J95" s="76"/>
      <c r="K95" s="112"/>
    </row>
    <row r="96" spans="3:12" x14ac:dyDescent="0.25">
      <c r="C96" s="70"/>
      <c r="D96" s="31"/>
      <c r="E96" s="93"/>
      <c r="F96" s="93"/>
      <c r="G96" s="93"/>
      <c r="H96" s="76"/>
      <c r="I96" s="76"/>
      <c r="J96" s="76"/>
      <c r="K96" s="112"/>
    </row>
    <row r="97" spans="3:12" x14ac:dyDescent="0.25">
      <c r="C97" s="70"/>
      <c r="D97" s="31"/>
      <c r="E97" s="93"/>
      <c r="F97" s="93"/>
      <c r="G97" s="93"/>
      <c r="H97" s="76"/>
      <c r="I97" s="76"/>
      <c r="J97" s="76"/>
      <c r="K97" s="112"/>
    </row>
    <row r="98" spans="3:12" ht="15.75" x14ac:dyDescent="0.25">
      <c r="C98" s="202" t="s">
        <v>390</v>
      </c>
      <c r="D98" s="368"/>
      <c r="E98" s="93"/>
      <c r="F98" s="93"/>
      <c r="G98" s="93"/>
      <c r="H98" s="76"/>
      <c r="I98" s="76"/>
      <c r="J98" s="76"/>
      <c r="K98" s="112"/>
    </row>
    <row r="99" spans="3:12" ht="18.75" x14ac:dyDescent="0.25">
      <c r="C99" s="210" t="e">
        <f>IFERROR(VLOOKUP(D98,'1. Desarrollo e Innov. Curricu.'!$F:$G,2,FALSE),IFERROR(VLOOKUP(D98,'2. Investigación Científica'!$F:$G,2,FALSE),IFERROR(VLOOKUP(D98,'3. Vinculación Univ. Sociedad'!$F:$G,2,FALSE),IFERROR(VLOOKUP(D98,'4. Docencia y Profesorado Univ.'!$F:$G,2,FALSE),IFERROR(VLOOKUP(D98,'5. Estudiantes y Graduados'!$F:$G,2,FALSE),IFERROR(VLOOKUP(D98,'11. Gestion Administrativa'!$F:$G,2,FALSE),IFERROR(VLOOKUP(D98,'13. Gestión Académica'!$F:$G,2,FALSE),IFERROR(VLOOKUP(D98,'9. Asegura. de la Calid. y M'!$F:$G,2,FALSE),IFERROR(VLOOKUP(D98,'6. Gestión del Conocimiento'!$F:$G,2,FALSE),IFERROR(VLOOKUP(D98,'15. Gobernabilidad y Proceso...'!$G:$H,2,FALSE),IFERROR(VLOOKUP(D98,'12. Gestión del Talento Humano'!$F:$G,2,FALSE),IFERROR(VLOOKUP(D98,'14. Internacional... de la E.S.'!$F:$G,2,FALSE),IFERROR(VLOOKUP(D98,'10. Posgrado'!$F:$G,2,FALSE),IFERROR(VLOOKUP(D98,'17. Gestión TIC'!$F:$G,2,FALSE),IFERROR(VLOOKUP(D98,'16. Desa. del Sistema Educ.Sup.'!$F:$G,2,FALSE),IFERROR(VLOOKUP(D98,'8. Cultura de Inno. Insti...'!$F:$G,2,FALSE),VLOOKUP(D98,'7. Lo Esencial de la Reforma U.'!$G:$H,2,0)))))))))))))))))</f>
        <v>#N/A</v>
      </c>
      <c r="D99" s="31"/>
      <c r="E99" s="93"/>
      <c r="F99" s="93"/>
      <c r="G99" s="93"/>
      <c r="H99" s="76"/>
      <c r="I99" s="76"/>
      <c r="J99" s="76"/>
      <c r="K99" s="112"/>
    </row>
    <row r="100" spans="3:12" ht="15.75" thickBot="1" x14ac:dyDescent="0.3">
      <c r="C100" s="70"/>
      <c r="D100" s="31"/>
      <c r="E100" s="93"/>
      <c r="F100" s="93"/>
      <c r="G100" s="93"/>
      <c r="H100" s="76"/>
      <c r="I100" s="76"/>
      <c r="J100" s="76"/>
      <c r="K100" s="112"/>
    </row>
    <row r="101" spans="3:12" ht="15.75" thickBot="1" x14ac:dyDescent="0.3">
      <c r="C101" s="126" t="s">
        <v>44</v>
      </c>
      <c r="D101" s="129" t="s">
        <v>45</v>
      </c>
      <c r="E101" s="128" t="s">
        <v>55</v>
      </c>
      <c r="F101" s="128" t="s">
        <v>57</v>
      </c>
      <c r="G101" s="127" t="s">
        <v>27</v>
      </c>
      <c r="H101" s="133" t="s">
        <v>129</v>
      </c>
      <c r="I101" s="128" t="s">
        <v>46</v>
      </c>
      <c r="J101" s="128" t="s">
        <v>130</v>
      </c>
      <c r="K101" s="128" t="s">
        <v>408</v>
      </c>
      <c r="L101" s="128" t="s">
        <v>409</v>
      </c>
    </row>
    <row r="102" spans="3:12" x14ac:dyDescent="0.25">
      <c r="C102" s="326" t="s">
        <v>47</v>
      </c>
      <c r="D102" s="660"/>
      <c r="E102" s="327"/>
      <c r="F102" s="115">
        <v>30000</v>
      </c>
      <c r="G102" s="328">
        <f t="shared" ref="G102:G110" si="9">E102*F102</f>
        <v>0</v>
      </c>
      <c r="H102" s="329"/>
      <c r="I102" s="116" t="s">
        <v>697</v>
      </c>
      <c r="J102" s="116" t="str">
        <f>VLOOKUP(I102,Presupuesto!$B$11:$C$566,2,0)</f>
        <v>SERVICIOS DE CAPACITACION.</v>
      </c>
      <c r="K102" s="330" t="s">
        <v>1503</v>
      </c>
      <c r="L102" s="116" t="s">
        <v>392</v>
      </c>
    </row>
    <row r="103" spans="3:12" x14ac:dyDescent="0.25">
      <c r="C103" s="99" t="s">
        <v>48</v>
      </c>
      <c r="D103" s="661"/>
      <c r="E103" s="200">
        <f>D102</f>
        <v>0</v>
      </c>
      <c r="F103" s="100">
        <v>50</v>
      </c>
      <c r="G103" s="97">
        <f t="shared" si="9"/>
        <v>0</v>
      </c>
      <c r="H103" s="161"/>
      <c r="I103" s="98" t="s">
        <v>715</v>
      </c>
      <c r="J103" s="98" t="str">
        <f>VLOOKUP(I103,Presupuesto!$B$11:$C$566,2,0)</f>
        <v>SERVICIOS DE IMPRENTA PUBLIC.Y REPRODUCCION</v>
      </c>
      <c r="K103" s="98" t="str">
        <f>$K$102</f>
        <v>Gestión Tecnologías de Información y Comunicación</v>
      </c>
      <c r="L103" s="98" t="s">
        <v>410</v>
      </c>
    </row>
    <row r="104" spans="3:12" x14ac:dyDescent="0.25">
      <c r="C104" s="99" t="s">
        <v>49</v>
      </c>
      <c r="D104" s="661"/>
      <c r="E104" s="200">
        <f>D102</f>
        <v>0</v>
      </c>
      <c r="F104" s="100">
        <v>150</v>
      </c>
      <c r="G104" s="97">
        <f t="shared" si="9"/>
        <v>0</v>
      </c>
      <c r="H104" s="161"/>
      <c r="I104" s="98" t="s">
        <v>790</v>
      </c>
      <c r="J104" s="98" t="str">
        <f>VLOOKUP(I104,Presupuesto!$B$11:$C$566,2,0)</f>
        <v>ALIMENTOS B EBIDAS PARA PERSONAS</v>
      </c>
      <c r="K104" s="98" t="str">
        <f t="shared" ref="K104:K111" si="10">$K$102</f>
        <v>Gestión Tecnologías de Información y Comunicación</v>
      </c>
      <c r="L104" s="98" t="s">
        <v>394</v>
      </c>
    </row>
    <row r="105" spans="3:12" x14ac:dyDescent="0.25">
      <c r="C105" s="99" t="s">
        <v>50</v>
      </c>
      <c r="D105" s="661"/>
      <c r="E105" s="151">
        <v>0</v>
      </c>
      <c r="F105" s="118">
        <v>10000</v>
      </c>
      <c r="G105" s="97">
        <f t="shared" si="9"/>
        <v>0</v>
      </c>
      <c r="H105" s="161"/>
      <c r="I105" s="321" t="s">
        <v>298</v>
      </c>
      <c r="J105" s="98" t="str">
        <f>VLOOKUP(I105,Presupuesto!$B$11:$C$566,2,0)</f>
        <v>PASAJES (26100-00)</v>
      </c>
      <c r="K105" s="98" t="str">
        <f t="shared" si="10"/>
        <v>Gestión Tecnologías de Información y Comunicación</v>
      </c>
      <c r="L105" s="98" t="s">
        <v>410</v>
      </c>
    </row>
    <row r="106" spans="3:12" x14ac:dyDescent="0.25">
      <c r="C106" s="99" t="s">
        <v>415</v>
      </c>
      <c r="D106" s="661"/>
      <c r="E106" s="151">
        <v>0</v>
      </c>
      <c r="F106" s="118">
        <v>250</v>
      </c>
      <c r="G106" s="97">
        <f t="shared" si="9"/>
        <v>0</v>
      </c>
      <c r="H106" s="161"/>
      <c r="I106" s="98" t="s">
        <v>819</v>
      </c>
      <c r="J106" s="98" t="str">
        <f>VLOOKUP(I106,Presupuesto!$B$11:$C$566,2,0)</f>
        <v>PRODUCTOS PAPEL Y CARTON</v>
      </c>
      <c r="K106" s="98" t="str">
        <f t="shared" si="10"/>
        <v>Gestión Tecnologías de Información y Comunicación</v>
      </c>
      <c r="L106" s="98" t="s">
        <v>410</v>
      </c>
    </row>
    <row r="107" spans="3:12" x14ac:dyDescent="0.25">
      <c r="C107" s="99" t="s">
        <v>51</v>
      </c>
      <c r="D107" s="661"/>
      <c r="E107" s="200">
        <f>(D102*25)/500</f>
        <v>0</v>
      </c>
      <c r="F107" s="100">
        <v>85</v>
      </c>
      <c r="G107" s="97">
        <f t="shared" si="9"/>
        <v>0</v>
      </c>
      <c r="H107" s="161"/>
      <c r="I107" s="98" t="s">
        <v>819</v>
      </c>
      <c r="J107" s="98" t="str">
        <f>VLOOKUP(I107,Presupuesto!$B$11:$C$566,2,0)</f>
        <v>PRODUCTOS PAPEL Y CARTON</v>
      </c>
      <c r="K107" s="98" t="str">
        <f t="shared" si="10"/>
        <v>Gestión Tecnologías de Información y Comunicación</v>
      </c>
      <c r="L107" s="98" t="s">
        <v>410</v>
      </c>
    </row>
    <row r="108" spans="3:12" x14ac:dyDescent="0.25">
      <c r="C108" s="99" t="s">
        <v>121</v>
      </c>
      <c r="D108" s="661"/>
      <c r="E108" s="200">
        <f>D102/12</f>
        <v>0</v>
      </c>
      <c r="F108" s="100">
        <v>36</v>
      </c>
      <c r="G108" s="97">
        <f t="shared" si="9"/>
        <v>0</v>
      </c>
      <c r="H108" s="161"/>
      <c r="I108" s="98" t="s">
        <v>940</v>
      </c>
      <c r="J108" s="98" t="str">
        <f>VLOOKUP(I108,Presupuesto!$B$11:$C$566,2,0)</f>
        <v>UTILES DE ESCRITORIO, OFICINA Y ENSE¥ANZA</v>
      </c>
      <c r="K108" s="98" t="str">
        <f t="shared" si="10"/>
        <v>Gestión Tecnologías de Información y Comunicación</v>
      </c>
      <c r="L108" s="98" t="s">
        <v>410</v>
      </c>
    </row>
    <row r="109" spans="3:12" x14ac:dyDescent="0.25">
      <c r="C109" s="99" t="s">
        <v>34</v>
      </c>
      <c r="D109" s="661"/>
      <c r="E109" s="200">
        <f>D102/12</f>
        <v>0</v>
      </c>
      <c r="F109" s="100">
        <v>80</v>
      </c>
      <c r="G109" s="97">
        <f t="shared" si="9"/>
        <v>0</v>
      </c>
      <c r="H109" s="161"/>
      <c r="I109" s="98" t="s">
        <v>940</v>
      </c>
      <c r="J109" s="98" t="str">
        <f>VLOOKUP(I109,Presupuesto!$B$11:$C$566,2,0)</f>
        <v>UTILES DE ESCRITORIO, OFICINA Y ENSE¥ANZA</v>
      </c>
      <c r="K109" s="98" t="str">
        <f t="shared" si="10"/>
        <v>Gestión Tecnologías de Información y Comunicación</v>
      </c>
      <c r="L109" s="98" t="s">
        <v>410</v>
      </c>
    </row>
    <row r="110" spans="3:12" x14ac:dyDescent="0.25">
      <c r="C110" s="109" t="s">
        <v>52</v>
      </c>
      <c r="D110" s="661"/>
      <c r="E110" s="212">
        <v>0</v>
      </c>
      <c r="F110" s="119">
        <v>25</v>
      </c>
      <c r="G110" s="97">
        <f t="shared" si="9"/>
        <v>0</v>
      </c>
      <c r="H110" s="161"/>
      <c r="I110" s="98" t="s">
        <v>940</v>
      </c>
      <c r="J110" s="98" t="str">
        <f>VLOOKUP(I110,Presupuesto!$B$11:$C$566,2,0)</f>
        <v>UTILES DE ESCRITORIO, OFICINA Y ENSE¥ANZA</v>
      </c>
      <c r="K110" s="98" t="str">
        <f t="shared" si="10"/>
        <v>Gestión Tecnologías de Información y Comunicación</v>
      </c>
      <c r="L110" s="98" t="s">
        <v>410</v>
      </c>
    </row>
    <row r="111" spans="3:12" ht="15.75" thickBot="1" x14ac:dyDescent="0.3">
      <c r="C111" s="216" t="s">
        <v>428</v>
      </c>
      <c r="D111" s="217">
        <v>0</v>
      </c>
      <c r="E111" s="331">
        <v>0</v>
      </c>
      <c r="F111" s="104">
        <f>HLOOKUP(C111,$AH$2:$BU$3,2,0)</f>
        <v>1150</v>
      </c>
      <c r="G111" s="105">
        <f>D111*E111*F111</f>
        <v>0</v>
      </c>
      <c r="H111" s="332"/>
      <c r="I111" s="333" t="s">
        <v>299</v>
      </c>
      <c r="J111" s="106" t="str">
        <f>VLOOKUP(I111,Presupuesto!$B$11:$C$566,2,0)</f>
        <v>VIATICOS (26200-00)</v>
      </c>
      <c r="K111" s="334" t="str">
        <f t="shared" si="10"/>
        <v>Gestión Tecnologías de Información y Comunicación</v>
      </c>
      <c r="L111" s="334" t="s">
        <v>410</v>
      </c>
    </row>
    <row r="112" spans="3:12" x14ac:dyDescent="0.25">
      <c r="C112" s="93"/>
      <c r="E112" s="112"/>
      <c r="F112" s="112"/>
      <c r="G112" s="112"/>
      <c r="H112" s="174"/>
      <c r="I112" s="112"/>
      <c r="J112" s="112"/>
      <c r="K112" s="112"/>
    </row>
    <row r="113" spans="3:12" ht="15.75" thickBot="1" x14ac:dyDescent="0.3"/>
    <row r="114" spans="3:12" ht="15.75" thickBot="1" x14ac:dyDescent="0.3">
      <c r="C114" s="29" t="s">
        <v>43</v>
      </c>
      <c r="D114" s="30">
        <f>SUM(G121:G130)</f>
        <v>0</v>
      </c>
      <c r="E114" s="93"/>
      <c r="F114" s="93"/>
      <c r="G114" s="93"/>
      <c r="H114" s="76"/>
      <c r="I114" s="76"/>
      <c r="J114" s="76"/>
      <c r="K114" s="112"/>
    </row>
    <row r="115" spans="3:12" x14ac:dyDescent="0.25">
      <c r="C115" s="70"/>
      <c r="D115" s="31"/>
      <c r="E115" s="93"/>
      <c r="F115" s="93"/>
      <c r="G115" s="93"/>
      <c r="H115" s="76"/>
      <c r="I115" s="76"/>
      <c r="J115" s="76"/>
      <c r="K115" s="112"/>
    </row>
    <row r="116" spans="3:12" x14ac:dyDescent="0.25">
      <c r="C116" s="70"/>
      <c r="D116" s="31"/>
      <c r="E116" s="93"/>
      <c r="F116" s="93"/>
      <c r="G116" s="93"/>
      <c r="H116" s="76"/>
      <c r="I116" s="76"/>
      <c r="J116" s="76"/>
      <c r="K116" s="112"/>
    </row>
    <row r="117" spans="3:12" ht="15.75" x14ac:dyDescent="0.25">
      <c r="C117" s="202" t="s">
        <v>390</v>
      </c>
      <c r="D117" s="368"/>
      <c r="E117" s="93"/>
      <c r="F117" s="93"/>
      <c r="G117" s="93"/>
      <c r="H117" s="76"/>
      <c r="I117" s="76"/>
      <c r="J117" s="76"/>
      <c r="K117" s="112"/>
    </row>
    <row r="118" spans="3:12" ht="18.75" x14ac:dyDescent="0.25">
      <c r="C118" s="210" t="e">
        <f>IFERROR(VLOOKUP(D117,'1. Desarrollo e Innov. Curricu.'!$F:$G,2,FALSE),IFERROR(VLOOKUP(D117,'2. Investigación Científica'!$F:$G,2,FALSE),IFERROR(VLOOKUP(D117,'3. Vinculación Univ. Sociedad'!$F:$G,2,FALSE),IFERROR(VLOOKUP(D117,'4. Docencia y Profesorado Univ.'!$F:$G,2,FALSE),IFERROR(VLOOKUP(D117,'5. Estudiantes y Graduados'!$F:$G,2,FALSE),IFERROR(VLOOKUP(D117,'11. Gestion Administrativa'!$F:$G,2,FALSE),IFERROR(VLOOKUP(D117,'13. Gestión Académica'!$F:$G,2,FALSE),IFERROR(VLOOKUP(D117,'9. Asegura. de la Calid. y M'!$F:$G,2,FALSE),IFERROR(VLOOKUP(D117,'6. Gestión del Conocimiento'!$F:$G,2,FALSE),IFERROR(VLOOKUP(D117,'15. Gobernabilidad y Proceso...'!$G:$H,2,FALSE),IFERROR(VLOOKUP(D117,'12. Gestión del Talento Humano'!$F:$G,2,FALSE),IFERROR(VLOOKUP(D117,'14. Internacional... de la E.S.'!$F:$G,2,FALSE),IFERROR(VLOOKUP(D117,'10. Posgrado'!$F:$G,2,FALSE),IFERROR(VLOOKUP(D117,'17. Gestión TIC'!$F:$G,2,FALSE),IFERROR(VLOOKUP(D117,'16. Desa. del Sistema Educ.Sup.'!$F:$G,2,FALSE),IFERROR(VLOOKUP(D117,'8. Cultura de Inno. Insti...'!$F:$G,2,FALSE),VLOOKUP(D117,'7. Lo Esencial de la Reforma U.'!$G:$H,2,0)))))))))))))))))</f>
        <v>#N/A</v>
      </c>
      <c r="D118" s="31"/>
      <c r="E118" s="93"/>
      <c r="F118" s="93"/>
      <c r="G118" s="93"/>
      <c r="H118" s="76"/>
      <c r="I118" s="76"/>
      <c r="J118" s="76"/>
      <c r="K118" s="112"/>
    </row>
    <row r="119" spans="3:12" ht="15.75" thickBot="1" x14ac:dyDescent="0.3">
      <c r="C119" s="70"/>
      <c r="D119" s="31"/>
      <c r="E119" s="93"/>
      <c r="F119" s="93"/>
      <c r="G119" s="93"/>
      <c r="H119" s="76"/>
      <c r="I119" s="76"/>
      <c r="J119" s="76"/>
      <c r="K119" s="112"/>
    </row>
    <row r="120" spans="3:12" ht="15.75" thickBot="1" x14ac:dyDescent="0.3">
      <c r="C120" s="126" t="s">
        <v>44</v>
      </c>
      <c r="D120" s="129" t="s">
        <v>45</v>
      </c>
      <c r="E120" s="128" t="s">
        <v>55</v>
      </c>
      <c r="F120" s="128" t="s">
        <v>57</v>
      </c>
      <c r="G120" s="127" t="s">
        <v>27</v>
      </c>
      <c r="H120" s="133" t="s">
        <v>129</v>
      </c>
      <c r="I120" s="128" t="s">
        <v>46</v>
      </c>
      <c r="J120" s="128" t="s">
        <v>130</v>
      </c>
      <c r="K120" s="128" t="s">
        <v>408</v>
      </c>
      <c r="L120" s="128" t="s">
        <v>409</v>
      </c>
    </row>
    <row r="121" spans="3:12" x14ac:dyDescent="0.25">
      <c r="C121" s="326" t="s">
        <v>47</v>
      </c>
      <c r="D121" s="660"/>
      <c r="E121" s="327"/>
      <c r="F121" s="115">
        <v>30000</v>
      </c>
      <c r="G121" s="328">
        <f t="shared" ref="G121:G129" si="11">E121*F121</f>
        <v>0</v>
      </c>
      <c r="H121" s="329"/>
      <c r="I121" s="116" t="s">
        <v>697</v>
      </c>
      <c r="J121" s="116" t="str">
        <f>VLOOKUP(I121,Presupuesto!$B$11:$C$566,2,0)</f>
        <v>SERVICIOS DE CAPACITACION.</v>
      </c>
      <c r="K121" s="330" t="s">
        <v>1503</v>
      </c>
      <c r="L121" s="116" t="s">
        <v>392</v>
      </c>
    </row>
    <row r="122" spans="3:12" x14ac:dyDescent="0.25">
      <c r="C122" s="99" t="s">
        <v>48</v>
      </c>
      <c r="D122" s="661"/>
      <c r="E122" s="200">
        <f>D121</f>
        <v>0</v>
      </c>
      <c r="F122" s="100">
        <v>50</v>
      </c>
      <c r="G122" s="97">
        <f t="shared" si="11"/>
        <v>0</v>
      </c>
      <c r="H122" s="161"/>
      <c r="I122" s="98" t="s">
        <v>715</v>
      </c>
      <c r="J122" s="98" t="str">
        <f>VLOOKUP(I122,Presupuesto!$B$11:$C$566,2,0)</f>
        <v>SERVICIOS DE IMPRENTA PUBLIC.Y REPRODUCCION</v>
      </c>
      <c r="K122" s="98" t="str">
        <f>$K$121</f>
        <v>Gestión Tecnologías de Información y Comunicación</v>
      </c>
      <c r="L122" s="98" t="s">
        <v>410</v>
      </c>
    </row>
    <row r="123" spans="3:12" x14ac:dyDescent="0.25">
      <c r="C123" s="99" t="s">
        <v>49</v>
      </c>
      <c r="D123" s="661"/>
      <c r="E123" s="200">
        <f>D121</f>
        <v>0</v>
      </c>
      <c r="F123" s="100">
        <v>150</v>
      </c>
      <c r="G123" s="97">
        <f t="shared" si="11"/>
        <v>0</v>
      </c>
      <c r="H123" s="161"/>
      <c r="I123" s="98" t="s">
        <v>790</v>
      </c>
      <c r="J123" s="98" t="str">
        <f>VLOOKUP(I123,Presupuesto!$B$11:$C$566,2,0)</f>
        <v>ALIMENTOS B EBIDAS PARA PERSONAS</v>
      </c>
      <c r="K123" s="98" t="str">
        <f t="shared" ref="K123:K130" si="12">$K$121</f>
        <v>Gestión Tecnologías de Información y Comunicación</v>
      </c>
      <c r="L123" s="98" t="s">
        <v>394</v>
      </c>
    </row>
    <row r="124" spans="3:12" x14ac:dyDescent="0.25">
      <c r="C124" s="99" t="s">
        <v>50</v>
      </c>
      <c r="D124" s="661"/>
      <c r="E124" s="151">
        <v>0</v>
      </c>
      <c r="F124" s="118">
        <v>10000</v>
      </c>
      <c r="G124" s="97">
        <f t="shared" si="11"/>
        <v>0</v>
      </c>
      <c r="H124" s="161"/>
      <c r="I124" s="321" t="s">
        <v>298</v>
      </c>
      <c r="J124" s="98" t="str">
        <f>VLOOKUP(I124,Presupuesto!$B$11:$C$566,2,0)</f>
        <v>PASAJES (26100-00)</v>
      </c>
      <c r="K124" s="98" t="str">
        <f t="shared" si="12"/>
        <v>Gestión Tecnologías de Información y Comunicación</v>
      </c>
      <c r="L124" s="98" t="s">
        <v>410</v>
      </c>
    </row>
    <row r="125" spans="3:12" x14ac:dyDescent="0.25">
      <c r="C125" s="99" t="s">
        <v>415</v>
      </c>
      <c r="D125" s="661"/>
      <c r="E125" s="151">
        <v>0</v>
      </c>
      <c r="F125" s="118">
        <v>250</v>
      </c>
      <c r="G125" s="97">
        <f t="shared" si="11"/>
        <v>0</v>
      </c>
      <c r="H125" s="161"/>
      <c r="I125" s="98" t="s">
        <v>819</v>
      </c>
      <c r="J125" s="98" t="str">
        <f>VLOOKUP(I125,Presupuesto!$B$11:$C$566,2,0)</f>
        <v>PRODUCTOS PAPEL Y CARTON</v>
      </c>
      <c r="K125" s="98" t="str">
        <f t="shared" si="12"/>
        <v>Gestión Tecnologías de Información y Comunicación</v>
      </c>
      <c r="L125" s="98" t="s">
        <v>410</v>
      </c>
    </row>
    <row r="126" spans="3:12" x14ac:dyDescent="0.25">
      <c r="C126" s="99" t="s">
        <v>51</v>
      </c>
      <c r="D126" s="661"/>
      <c r="E126" s="200">
        <f>(D121*25)/500</f>
        <v>0</v>
      </c>
      <c r="F126" s="100">
        <v>85</v>
      </c>
      <c r="G126" s="97">
        <f t="shared" si="11"/>
        <v>0</v>
      </c>
      <c r="H126" s="161"/>
      <c r="I126" s="98" t="s">
        <v>819</v>
      </c>
      <c r="J126" s="98" t="str">
        <f>VLOOKUP(I126,Presupuesto!$B$11:$C$566,2,0)</f>
        <v>PRODUCTOS PAPEL Y CARTON</v>
      </c>
      <c r="K126" s="98" t="str">
        <f t="shared" si="12"/>
        <v>Gestión Tecnologías de Información y Comunicación</v>
      </c>
      <c r="L126" s="98" t="s">
        <v>410</v>
      </c>
    </row>
    <row r="127" spans="3:12" x14ac:dyDescent="0.25">
      <c r="C127" s="99" t="s">
        <v>121</v>
      </c>
      <c r="D127" s="661"/>
      <c r="E127" s="200">
        <f>D121/12</f>
        <v>0</v>
      </c>
      <c r="F127" s="100">
        <v>36</v>
      </c>
      <c r="G127" s="97">
        <f t="shared" si="11"/>
        <v>0</v>
      </c>
      <c r="H127" s="161"/>
      <c r="I127" s="98" t="s">
        <v>940</v>
      </c>
      <c r="J127" s="98" t="str">
        <f>VLOOKUP(I127,Presupuesto!$B$11:$C$566,2,0)</f>
        <v>UTILES DE ESCRITORIO, OFICINA Y ENSE¥ANZA</v>
      </c>
      <c r="K127" s="98" t="str">
        <f t="shared" si="12"/>
        <v>Gestión Tecnologías de Información y Comunicación</v>
      </c>
      <c r="L127" s="98" t="s">
        <v>410</v>
      </c>
    </row>
    <row r="128" spans="3:12" x14ac:dyDescent="0.25">
      <c r="C128" s="99" t="s">
        <v>34</v>
      </c>
      <c r="D128" s="661"/>
      <c r="E128" s="200">
        <f>D121/12</f>
        <v>0</v>
      </c>
      <c r="F128" s="100">
        <v>80</v>
      </c>
      <c r="G128" s="97">
        <f t="shared" si="11"/>
        <v>0</v>
      </c>
      <c r="H128" s="161"/>
      <c r="I128" s="98" t="s">
        <v>940</v>
      </c>
      <c r="J128" s="98" t="str">
        <f>VLOOKUP(I128,Presupuesto!$B$11:$C$566,2,0)</f>
        <v>UTILES DE ESCRITORIO, OFICINA Y ENSE¥ANZA</v>
      </c>
      <c r="K128" s="98" t="str">
        <f t="shared" si="12"/>
        <v>Gestión Tecnologías de Información y Comunicación</v>
      </c>
      <c r="L128" s="98" t="s">
        <v>410</v>
      </c>
    </row>
    <row r="129" spans="3:12" x14ac:dyDescent="0.25">
      <c r="C129" s="109" t="s">
        <v>52</v>
      </c>
      <c r="D129" s="661"/>
      <c r="E129" s="212">
        <v>0</v>
      </c>
      <c r="F129" s="119">
        <v>25</v>
      </c>
      <c r="G129" s="97">
        <f t="shared" si="11"/>
        <v>0</v>
      </c>
      <c r="H129" s="161"/>
      <c r="I129" s="98" t="s">
        <v>940</v>
      </c>
      <c r="J129" s="98" t="str">
        <f>VLOOKUP(I129,Presupuesto!$B$11:$C$566,2,0)</f>
        <v>UTILES DE ESCRITORIO, OFICINA Y ENSE¥ANZA</v>
      </c>
      <c r="K129" s="98" t="str">
        <f t="shared" si="12"/>
        <v>Gestión Tecnologías de Información y Comunicación</v>
      </c>
      <c r="L129" s="98" t="s">
        <v>410</v>
      </c>
    </row>
    <row r="130" spans="3:12" ht="15.75" thickBot="1" x14ac:dyDescent="0.3">
      <c r="C130" s="216" t="s">
        <v>428</v>
      </c>
      <c r="D130" s="217">
        <v>0</v>
      </c>
      <c r="E130" s="331">
        <v>0</v>
      </c>
      <c r="F130" s="104">
        <f>HLOOKUP(C130,$AH$2:$BU$3,2,0)</f>
        <v>1150</v>
      </c>
      <c r="G130" s="105">
        <f>D130*E130*F130</f>
        <v>0</v>
      </c>
      <c r="H130" s="332"/>
      <c r="I130" s="333" t="s">
        <v>299</v>
      </c>
      <c r="J130" s="106" t="str">
        <f>VLOOKUP(I130,Presupuesto!$B$11:$C$566,2,0)</f>
        <v>VIATICOS (26200-00)</v>
      </c>
      <c r="K130" s="334" t="str">
        <f t="shared" si="12"/>
        <v>Gestión Tecnologías de Información y Comunicación</v>
      </c>
      <c r="L130" s="334" t="s">
        <v>410</v>
      </c>
    </row>
    <row r="132" spans="3:12" ht="15.75" thickBot="1" x14ac:dyDescent="0.3"/>
    <row r="133" spans="3:12" ht="15.75" thickBot="1" x14ac:dyDescent="0.3">
      <c r="C133" s="29" t="s">
        <v>43</v>
      </c>
      <c r="D133" s="30">
        <f>SUM(G140:G149)</f>
        <v>0</v>
      </c>
      <c r="E133" s="93"/>
      <c r="F133" s="93"/>
      <c r="G133" s="93"/>
      <c r="H133" s="76"/>
      <c r="I133" s="76"/>
      <c r="J133" s="76"/>
      <c r="K133" s="112"/>
    </row>
    <row r="134" spans="3:12" x14ac:dyDescent="0.25">
      <c r="C134" s="70"/>
      <c r="D134" s="31"/>
      <c r="E134" s="93"/>
      <c r="F134" s="93"/>
      <c r="G134" s="93"/>
      <c r="H134" s="76"/>
      <c r="I134" s="76"/>
      <c r="J134" s="76"/>
      <c r="K134" s="112"/>
    </row>
    <row r="135" spans="3:12" x14ac:dyDescent="0.25">
      <c r="C135" s="70"/>
      <c r="D135" s="31"/>
      <c r="E135" s="93"/>
      <c r="F135" s="93"/>
      <c r="G135" s="93"/>
      <c r="H135" s="76"/>
      <c r="I135" s="76"/>
      <c r="J135" s="76"/>
      <c r="K135" s="112"/>
    </row>
    <row r="136" spans="3:12" ht="15.75" x14ac:dyDescent="0.25">
      <c r="C136" s="202" t="s">
        <v>390</v>
      </c>
      <c r="D136" s="368"/>
      <c r="E136" s="93"/>
      <c r="F136" s="93"/>
      <c r="G136" s="93"/>
      <c r="H136" s="76"/>
      <c r="I136" s="76"/>
      <c r="J136" s="76"/>
      <c r="K136" s="112"/>
    </row>
    <row r="137" spans="3:12" ht="18.75" x14ac:dyDescent="0.25">
      <c r="C137" s="210" t="e">
        <f>IFERROR(VLOOKUP(D136,'1. Desarrollo e Innov. Curricu.'!$F:$G,2,FALSE),IFERROR(VLOOKUP(D136,'2. Investigación Científica'!$F:$G,2,FALSE),IFERROR(VLOOKUP(D136,'3. Vinculación Univ. Sociedad'!$F:$G,2,FALSE),IFERROR(VLOOKUP(D136,'4. Docencia y Profesorado Univ.'!$F:$G,2,FALSE),IFERROR(VLOOKUP(D136,'5. Estudiantes y Graduados'!$F:$G,2,FALSE),IFERROR(VLOOKUP(D136,'11. Gestion Administrativa'!$F:$G,2,FALSE),IFERROR(VLOOKUP(D136,'13. Gestión Académica'!$F:$G,2,FALSE),IFERROR(VLOOKUP(D136,'9. Asegura. de la Calid. y M'!$F:$G,2,FALSE),IFERROR(VLOOKUP(D136,'6. Gestión del Conocimiento'!$F:$G,2,FALSE),IFERROR(VLOOKUP(D136,'15. Gobernabilidad y Proceso...'!$G:$H,2,FALSE),IFERROR(VLOOKUP(D136,'12. Gestión del Talento Humano'!$F:$G,2,FALSE),IFERROR(VLOOKUP(D136,'14. Internacional... de la E.S.'!$F:$G,2,FALSE),IFERROR(VLOOKUP(D136,'10. Posgrado'!$F:$G,2,FALSE),IFERROR(VLOOKUP(D136,'17. Gestión TIC'!$F:$G,2,FALSE),IFERROR(VLOOKUP(D136,'16. Desa. del Sistema Educ.Sup.'!$F:$G,2,FALSE),IFERROR(VLOOKUP(D136,'8. Cultura de Inno. Insti...'!$F:$G,2,FALSE),VLOOKUP(D136,'7. Lo Esencial de la Reforma U.'!$G:$H,2,0)))))))))))))))))</f>
        <v>#N/A</v>
      </c>
      <c r="D137" s="31"/>
      <c r="E137" s="93"/>
      <c r="F137" s="93"/>
      <c r="G137" s="93"/>
      <c r="H137" s="76"/>
      <c r="I137" s="76"/>
      <c r="J137" s="76"/>
      <c r="K137" s="112"/>
    </row>
    <row r="138" spans="3:12" ht="15.75" thickBot="1" x14ac:dyDescent="0.3">
      <c r="C138" s="70"/>
      <c r="D138" s="31"/>
      <c r="E138" s="93"/>
      <c r="F138" s="93"/>
      <c r="G138" s="93"/>
      <c r="H138" s="76"/>
      <c r="I138" s="76"/>
      <c r="J138" s="76"/>
      <c r="K138" s="112"/>
    </row>
    <row r="139" spans="3:12" ht="15.75" thickBot="1" x14ac:dyDescent="0.3">
      <c r="C139" s="126" t="s">
        <v>44</v>
      </c>
      <c r="D139" s="129" t="s">
        <v>45</v>
      </c>
      <c r="E139" s="128" t="s">
        <v>55</v>
      </c>
      <c r="F139" s="128" t="s">
        <v>57</v>
      </c>
      <c r="G139" s="127" t="s">
        <v>27</v>
      </c>
      <c r="H139" s="133" t="s">
        <v>129</v>
      </c>
      <c r="I139" s="128" t="s">
        <v>46</v>
      </c>
      <c r="J139" s="128" t="s">
        <v>130</v>
      </c>
      <c r="K139" s="128" t="s">
        <v>408</v>
      </c>
      <c r="L139" s="128" t="s">
        <v>409</v>
      </c>
    </row>
    <row r="140" spans="3:12" x14ac:dyDescent="0.25">
      <c r="C140" s="326" t="s">
        <v>47</v>
      </c>
      <c r="D140" s="660"/>
      <c r="E140" s="327"/>
      <c r="F140" s="115">
        <v>30000</v>
      </c>
      <c r="G140" s="328">
        <f t="shared" ref="G140:G148" si="13">E140*F140</f>
        <v>0</v>
      </c>
      <c r="H140" s="329"/>
      <c r="I140" s="116" t="s">
        <v>697</v>
      </c>
      <c r="J140" s="116" t="str">
        <f>VLOOKUP(I140,Presupuesto!$B$11:$C$566,2,0)</f>
        <v>SERVICIOS DE CAPACITACION.</v>
      </c>
      <c r="K140" s="330" t="s">
        <v>1503</v>
      </c>
      <c r="L140" s="116" t="s">
        <v>392</v>
      </c>
    </row>
    <row r="141" spans="3:12" x14ac:dyDescent="0.25">
      <c r="C141" s="99" t="s">
        <v>48</v>
      </c>
      <c r="D141" s="661"/>
      <c r="E141" s="200">
        <f>D140</f>
        <v>0</v>
      </c>
      <c r="F141" s="100">
        <v>50</v>
      </c>
      <c r="G141" s="97">
        <f t="shared" si="13"/>
        <v>0</v>
      </c>
      <c r="H141" s="161"/>
      <c r="I141" s="98" t="s">
        <v>715</v>
      </c>
      <c r="J141" s="98" t="str">
        <f>VLOOKUP(I141,Presupuesto!$B$11:$C$566,2,0)</f>
        <v>SERVICIOS DE IMPRENTA PUBLIC.Y REPRODUCCION</v>
      </c>
      <c r="K141" s="98" t="str">
        <f>$K$140</f>
        <v>Gestión Tecnologías de Información y Comunicación</v>
      </c>
      <c r="L141" s="98" t="s">
        <v>410</v>
      </c>
    </row>
    <row r="142" spans="3:12" x14ac:dyDescent="0.25">
      <c r="C142" s="99" t="s">
        <v>49</v>
      </c>
      <c r="D142" s="661"/>
      <c r="E142" s="200">
        <f>D140</f>
        <v>0</v>
      </c>
      <c r="F142" s="100">
        <v>150</v>
      </c>
      <c r="G142" s="97">
        <f t="shared" si="13"/>
        <v>0</v>
      </c>
      <c r="H142" s="161"/>
      <c r="I142" s="98" t="s">
        <v>790</v>
      </c>
      <c r="J142" s="98" t="str">
        <f>VLOOKUP(I142,Presupuesto!$B$11:$C$566,2,0)</f>
        <v>ALIMENTOS B EBIDAS PARA PERSONAS</v>
      </c>
      <c r="K142" s="98" t="str">
        <f t="shared" ref="K142:K149" si="14">$K$140</f>
        <v>Gestión Tecnologías de Información y Comunicación</v>
      </c>
      <c r="L142" s="98" t="s">
        <v>394</v>
      </c>
    </row>
    <row r="143" spans="3:12" x14ac:dyDescent="0.25">
      <c r="C143" s="99" t="s">
        <v>50</v>
      </c>
      <c r="D143" s="661"/>
      <c r="E143" s="151">
        <v>0</v>
      </c>
      <c r="F143" s="118">
        <v>10000</v>
      </c>
      <c r="G143" s="97">
        <f t="shared" si="13"/>
        <v>0</v>
      </c>
      <c r="H143" s="161"/>
      <c r="I143" s="321" t="s">
        <v>298</v>
      </c>
      <c r="J143" s="98" t="str">
        <f>VLOOKUP(I143,Presupuesto!$B$11:$C$566,2,0)</f>
        <v>PASAJES (26100-00)</v>
      </c>
      <c r="K143" s="98" t="str">
        <f t="shared" si="14"/>
        <v>Gestión Tecnologías de Información y Comunicación</v>
      </c>
      <c r="L143" s="98" t="s">
        <v>410</v>
      </c>
    </row>
    <row r="144" spans="3:12" x14ac:dyDescent="0.25">
      <c r="C144" s="99" t="s">
        <v>415</v>
      </c>
      <c r="D144" s="661"/>
      <c r="E144" s="151">
        <v>0</v>
      </c>
      <c r="F144" s="118">
        <v>250</v>
      </c>
      <c r="G144" s="97">
        <f t="shared" si="13"/>
        <v>0</v>
      </c>
      <c r="H144" s="161"/>
      <c r="I144" s="98" t="s">
        <v>819</v>
      </c>
      <c r="J144" s="98" t="str">
        <f>VLOOKUP(I144,Presupuesto!$B$11:$C$566,2,0)</f>
        <v>PRODUCTOS PAPEL Y CARTON</v>
      </c>
      <c r="K144" s="98" t="str">
        <f t="shared" si="14"/>
        <v>Gestión Tecnologías de Información y Comunicación</v>
      </c>
      <c r="L144" s="98" t="s">
        <v>410</v>
      </c>
    </row>
    <row r="145" spans="3:12" x14ac:dyDescent="0.25">
      <c r="C145" s="99" t="s">
        <v>51</v>
      </c>
      <c r="D145" s="661"/>
      <c r="E145" s="200">
        <f>(D140*25)/500</f>
        <v>0</v>
      </c>
      <c r="F145" s="100">
        <v>85</v>
      </c>
      <c r="G145" s="97">
        <f t="shared" si="13"/>
        <v>0</v>
      </c>
      <c r="H145" s="161"/>
      <c r="I145" s="98" t="s">
        <v>819</v>
      </c>
      <c r="J145" s="98" t="str">
        <f>VLOOKUP(I145,Presupuesto!$B$11:$C$566,2,0)</f>
        <v>PRODUCTOS PAPEL Y CARTON</v>
      </c>
      <c r="K145" s="98" t="str">
        <f t="shared" si="14"/>
        <v>Gestión Tecnologías de Información y Comunicación</v>
      </c>
      <c r="L145" s="98" t="s">
        <v>410</v>
      </c>
    </row>
    <row r="146" spans="3:12" x14ac:dyDescent="0.25">
      <c r="C146" s="99" t="s">
        <v>121</v>
      </c>
      <c r="D146" s="661"/>
      <c r="E146" s="200">
        <f>D140/12</f>
        <v>0</v>
      </c>
      <c r="F146" s="100">
        <v>36</v>
      </c>
      <c r="G146" s="97">
        <f t="shared" si="13"/>
        <v>0</v>
      </c>
      <c r="H146" s="161"/>
      <c r="I146" s="98" t="s">
        <v>940</v>
      </c>
      <c r="J146" s="98" t="str">
        <f>VLOOKUP(I146,Presupuesto!$B$11:$C$566,2,0)</f>
        <v>UTILES DE ESCRITORIO, OFICINA Y ENSE¥ANZA</v>
      </c>
      <c r="K146" s="98" t="str">
        <f t="shared" si="14"/>
        <v>Gestión Tecnologías de Información y Comunicación</v>
      </c>
      <c r="L146" s="98" t="s">
        <v>410</v>
      </c>
    </row>
    <row r="147" spans="3:12" x14ac:dyDescent="0.25">
      <c r="C147" s="99" t="s">
        <v>34</v>
      </c>
      <c r="D147" s="661"/>
      <c r="E147" s="200">
        <f>D140/12</f>
        <v>0</v>
      </c>
      <c r="F147" s="100">
        <v>80</v>
      </c>
      <c r="G147" s="97">
        <f t="shared" si="13"/>
        <v>0</v>
      </c>
      <c r="H147" s="161"/>
      <c r="I147" s="98" t="s">
        <v>940</v>
      </c>
      <c r="J147" s="98" t="str">
        <f>VLOOKUP(I147,Presupuesto!$B$11:$C$566,2,0)</f>
        <v>UTILES DE ESCRITORIO, OFICINA Y ENSE¥ANZA</v>
      </c>
      <c r="K147" s="98" t="str">
        <f t="shared" si="14"/>
        <v>Gestión Tecnologías de Información y Comunicación</v>
      </c>
      <c r="L147" s="98" t="s">
        <v>410</v>
      </c>
    </row>
    <row r="148" spans="3:12" x14ac:dyDescent="0.25">
      <c r="C148" s="109" t="s">
        <v>52</v>
      </c>
      <c r="D148" s="661"/>
      <c r="E148" s="212">
        <v>0</v>
      </c>
      <c r="F148" s="119">
        <v>25</v>
      </c>
      <c r="G148" s="97">
        <f t="shared" si="13"/>
        <v>0</v>
      </c>
      <c r="H148" s="161"/>
      <c r="I148" s="98" t="s">
        <v>940</v>
      </c>
      <c r="J148" s="98" t="str">
        <f>VLOOKUP(I148,Presupuesto!$B$11:$C$566,2,0)</f>
        <v>UTILES DE ESCRITORIO, OFICINA Y ENSE¥ANZA</v>
      </c>
      <c r="K148" s="98" t="str">
        <f t="shared" si="14"/>
        <v>Gestión Tecnologías de Información y Comunicación</v>
      </c>
      <c r="L148" s="98" t="s">
        <v>410</v>
      </c>
    </row>
    <row r="149" spans="3:12" ht="15.75" thickBot="1" x14ac:dyDescent="0.3">
      <c r="C149" s="216" t="s">
        <v>428</v>
      </c>
      <c r="D149" s="217">
        <v>0</v>
      </c>
      <c r="E149" s="331">
        <v>0</v>
      </c>
      <c r="F149" s="104">
        <f>HLOOKUP(C149,$AH$2:$BU$3,2,0)</f>
        <v>1150</v>
      </c>
      <c r="G149" s="105">
        <f>D149*E149*F149</f>
        <v>0</v>
      </c>
      <c r="H149" s="332"/>
      <c r="I149" s="333" t="s">
        <v>299</v>
      </c>
      <c r="J149" s="106" t="str">
        <f>VLOOKUP(I149,Presupuesto!$B$11:$C$566,2,0)</f>
        <v>VIATICOS (26200-00)</v>
      </c>
      <c r="K149" s="334" t="str">
        <f t="shared" si="14"/>
        <v>Gestión Tecnologías de Información y Comunicación</v>
      </c>
      <c r="L149" s="334" t="s">
        <v>410</v>
      </c>
    </row>
    <row r="150" spans="3:12" x14ac:dyDescent="0.25">
      <c r="C150" s="93"/>
      <c r="E150" s="112"/>
      <c r="F150" s="112"/>
      <c r="G150" s="112"/>
      <c r="H150" s="174"/>
      <c r="I150" s="112"/>
      <c r="J150" s="112"/>
      <c r="K150" s="112"/>
    </row>
    <row r="151" spans="3:12" ht="15.75" thickBot="1" x14ac:dyDescent="0.3"/>
    <row r="152" spans="3:12" ht="15.75" thickBot="1" x14ac:dyDescent="0.3">
      <c r="C152" s="29" t="s">
        <v>43</v>
      </c>
      <c r="D152" s="30">
        <f>SUM(G159:G168)</f>
        <v>0</v>
      </c>
      <c r="E152" s="93"/>
      <c r="F152" s="93"/>
      <c r="G152" s="93"/>
      <c r="H152" s="76"/>
      <c r="I152" s="76"/>
      <c r="J152" s="76"/>
      <c r="K152" s="112"/>
    </row>
    <row r="153" spans="3:12" x14ac:dyDescent="0.25">
      <c r="C153" s="70"/>
      <c r="D153" s="31"/>
      <c r="E153" s="93"/>
      <c r="F153" s="93"/>
      <c r="G153" s="93"/>
      <c r="H153" s="76"/>
      <c r="I153" s="76"/>
      <c r="J153" s="76"/>
      <c r="K153" s="112"/>
    </row>
    <row r="154" spans="3:12" x14ac:dyDescent="0.25">
      <c r="C154" s="70"/>
      <c r="D154" s="31"/>
      <c r="E154" s="93"/>
      <c r="F154" s="93"/>
      <c r="G154" s="93"/>
      <c r="H154" s="76"/>
      <c r="I154" s="76"/>
      <c r="J154" s="76"/>
      <c r="K154" s="112"/>
    </row>
    <row r="155" spans="3:12" ht="15.75" x14ac:dyDescent="0.25">
      <c r="C155" s="202" t="s">
        <v>390</v>
      </c>
      <c r="D155" s="368"/>
      <c r="E155" s="93"/>
      <c r="F155" s="93"/>
      <c r="G155" s="93"/>
      <c r="H155" s="76"/>
      <c r="I155" s="76"/>
      <c r="J155" s="76"/>
      <c r="K155" s="112"/>
    </row>
    <row r="156" spans="3:12" ht="18.75" x14ac:dyDescent="0.25">
      <c r="C156" s="210" t="e">
        <f>IFERROR(VLOOKUP(D155,'1. Desarrollo e Innov. Curricu.'!$F:$G,2,FALSE),IFERROR(VLOOKUP(D155,'2. Investigación Científica'!$F:$G,2,FALSE),IFERROR(VLOOKUP(D155,'3. Vinculación Univ. Sociedad'!$F:$G,2,FALSE),IFERROR(VLOOKUP(D155,'4. Docencia y Profesorado Univ.'!$F:$G,2,FALSE),IFERROR(VLOOKUP(D155,'5. Estudiantes y Graduados'!$F:$G,2,FALSE),IFERROR(VLOOKUP(D155,'11. Gestion Administrativa'!$F:$G,2,FALSE),IFERROR(VLOOKUP(D155,'13. Gestión Académica'!$F:$G,2,FALSE),IFERROR(VLOOKUP(D155,'9. Asegura. de la Calid. y M'!$F:$G,2,FALSE),IFERROR(VLOOKUP(D155,'6. Gestión del Conocimiento'!$F:$G,2,FALSE),IFERROR(VLOOKUP(D155,'15. Gobernabilidad y Proceso...'!$G:$H,2,FALSE),IFERROR(VLOOKUP(D155,'12. Gestión del Talento Humano'!$F:$G,2,FALSE),IFERROR(VLOOKUP(D155,'14. Internacional... de la E.S.'!$F:$G,2,FALSE),IFERROR(VLOOKUP(D155,'10. Posgrado'!$F:$G,2,FALSE),IFERROR(VLOOKUP(D155,'17. Gestión TIC'!$F:$G,2,FALSE),IFERROR(VLOOKUP(D155,'16. Desa. del Sistema Educ.Sup.'!$F:$G,2,FALSE),IFERROR(VLOOKUP(D155,'8. Cultura de Inno. Insti...'!$F:$G,2,FALSE),VLOOKUP(D155,'7. Lo Esencial de la Reforma U.'!$G:$H,2,0)))))))))))))))))</f>
        <v>#N/A</v>
      </c>
      <c r="D156" s="31"/>
      <c r="E156" s="93"/>
      <c r="F156" s="93"/>
      <c r="G156" s="93"/>
      <c r="H156" s="76"/>
      <c r="I156" s="76"/>
      <c r="J156" s="76"/>
      <c r="K156" s="112"/>
    </row>
    <row r="157" spans="3:12" ht="15.75" thickBot="1" x14ac:dyDescent="0.3">
      <c r="C157" s="70"/>
      <c r="D157" s="31"/>
      <c r="E157" s="93"/>
      <c r="F157" s="93"/>
      <c r="G157" s="93"/>
      <c r="H157" s="76"/>
      <c r="I157" s="76"/>
      <c r="J157" s="76"/>
      <c r="K157" s="112"/>
    </row>
    <row r="158" spans="3:12" ht="15.75" thickBot="1" x14ac:dyDescent="0.3">
      <c r="C158" s="126" t="s">
        <v>44</v>
      </c>
      <c r="D158" s="129" t="s">
        <v>45</v>
      </c>
      <c r="E158" s="128" t="s">
        <v>55</v>
      </c>
      <c r="F158" s="128" t="s">
        <v>57</v>
      </c>
      <c r="G158" s="127" t="s">
        <v>27</v>
      </c>
      <c r="H158" s="133" t="s">
        <v>129</v>
      </c>
      <c r="I158" s="128" t="s">
        <v>46</v>
      </c>
      <c r="J158" s="128" t="s">
        <v>130</v>
      </c>
      <c r="K158" s="128" t="s">
        <v>408</v>
      </c>
      <c r="L158" s="128" t="s">
        <v>409</v>
      </c>
    </row>
    <row r="159" spans="3:12" x14ac:dyDescent="0.25">
      <c r="C159" s="326" t="s">
        <v>47</v>
      </c>
      <c r="D159" s="660"/>
      <c r="E159" s="327"/>
      <c r="F159" s="115">
        <v>30000</v>
      </c>
      <c r="G159" s="328">
        <f t="shared" ref="G159:G167" si="15">E159*F159</f>
        <v>0</v>
      </c>
      <c r="H159" s="329"/>
      <c r="I159" s="116" t="s">
        <v>697</v>
      </c>
      <c r="J159" s="116" t="str">
        <f>VLOOKUP(I159,Presupuesto!$B$11:$C$566,2,0)</f>
        <v>SERVICIOS DE CAPACITACION.</v>
      </c>
      <c r="K159" s="330" t="s">
        <v>1503</v>
      </c>
      <c r="L159" s="116" t="s">
        <v>392</v>
      </c>
    </row>
    <row r="160" spans="3:12" x14ac:dyDescent="0.25">
      <c r="C160" s="99" t="s">
        <v>48</v>
      </c>
      <c r="D160" s="661"/>
      <c r="E160" s="200">
        <f>D159</f>
        <v>0</v>
      </c>
      <c r="F160" s="100">
        <v>50</v>
      </c>
      <c r="G160" s="97">
        <f t="shared" si="15"/>
        <v>0</v>
      </c>
      <c r="H160" s="161"/>
      <c r="I160" s="98" t="s">
        <v>715</v>
      </c>
      <c r="J160" s="98" t="str">
        <f>VLOOKUP(I160,Presupuesto!$B$11:$C$566,2,0)</f>
        <v>SERVICIOS DE IMPRENTA PUBLIC.Y REPRODUCCION</v>
      </c>
      <c r="K160" s="98" t="str">
        <f>$K$159</f>
        <v>Gestión Tecnologías de Información y Comunicación</v>
      </c>
      <c r="L160" s="98" t="s">
        <v>410</v>
      </c>
    </row>
    <row r="161" spans="3:12" x14ac:dyDescent="0.25">
      <c r="C161" s="99" t="s">
        <v>49</v>
      </c>
      <c r="D161" s="661"/>
      <c r="E161" s="200">
        <f>D159</f>
        <v>0</v>
      </c>
      <c r="F161" s="100">
        <v>150</v>
      </c>
      <c r="G161" s="97">
        <f t="shared" si="15"/>
        <v>0</v>
      </c>
      <c r="H161" s="161"/>
      <c r="I161" s="98" t="s">
        <v>790</v>
      </c>
      <c r="J161" s="98" t="str">
        <f>VLOOKUP(I161,Presupuesto!$B$11:$C$566,2,0)</f>
        <v>ALIMENTOS B EBIDAS PARA PERSONAS</v>
      </c>
      <c r="K161" s="98" t="str">
        <f t="shared" ref="K161:K168" si="16">$K$159</f>
        <v>Gestión Tecnologías de Información y Comunicación</v>
      </c>
      <c r="L161" s="98" t="s">
        <v>394</v>
      </c>
    </row>
    <row r="162" spans="3:12" x14ac:dyDescent="0.25">
      <c r="C162" s="99" t="s">
        <v>50</v>
      </c>
      <c r="D162" s="661"/>
      <c r="E162" s="151">
        <v>0</v>
      </c>
      <c r="F162" s="118">
        <v>10000</v>
      </c>
      <c r="G162" s="97">
        <f t="shared" si="15"/>
        <v>0</v>
      </c>
      <c r="H162" s="161"/>
      <c r="I162" s="321" t="s">
        <v>298</v>
      </c>
      <c r="J162" s="98" t="str">
        <f>VLOOKUP(I162,Presupuesto!$B$11:$C$566,2,0)</f>
        <v>PASAJES (26100-00)</v>
      </c>
      <c r="K162" s="98" t="str">
        <f t="shared" si="16"/>
        <v>Gestión Tecnologías de Información y Comunicación</v>
      </c>
      <c r="L162" s="98" t="s">
        <v>410</v>
      </c>
    </row>
    <row r="163" spans="3:12" x14ac:dyDescent="0.25">
      <c r="C163" s="99" t="s">
        <v>415</v>
      </c>
      <c r="D163" s="661"/>
      <c r="E163" s="151">
        <v>0</v>
      </c>
      <c r="F163" s="118">
        <v>250</v>
      </c>
      <c r="G163" s="97">
        <f t="shared" si="15"/>
        <v>0</v>
      </c>
      <c r="H163" s="161"/>
      <c r="I163" s="98" t="s">
        <v>819</v>
      </c>
      <c r="J163" s="98" t="str">
        <f>VLOOKUP(I163,Presupuesto!$B$11:$C$566,2,0)</f>
        <v>PRODUCTOS PAPEL Y CARTON</v>
      </c>
      <c r="K163" s="98" t="str">
        <f t="shared" si="16"/>
        <v>Gestión Tecnologías de Información y Comunicación</v>
      </c>
      <c r="L163" s="98" t="s">
        <v>410</v>
      </c>
    </row>
    <row r="164" spans="3:12" x14ac:dyDescent="0.25">
      <c r="C164" s="99" t="s">
        <v>51</v>
      </c>
      <c r="D164" s="661"/>
      <c r="E164" s="200">
        <f>(D159*25)/500</f>
        <v>0</v>
      </c>
      <c r="F164" s="100">
        <v>85</v>
      </c>
      <c r="G164" s="97">
        <f t="shared" si="15"/>
        <v>0</v>
      </c>
      <c r="H164" s="161"/>
      <c r="I164" s="98" t="s">
        <v>819</v>
      </c>
      <c r="J164" s="98" t="str">
        <f>VLOOKUP(I164,Presupuesto!$B$11:$C$566,2,0)</f>
        <v>PRODUCTOS PAPEL Y CARTON</v>
      </c>
      <c r="K164" s="98" t="str">
        <f t="shared" si="16"/>
        <v>Gestión Tecnologías de Información y Comunicación</v>
      </c>
      <c r="L164" s="98" t="s">
        <v>410</v>
      </c>
    </row>
    <row r="165" spans="3:12" x14ac:dyDescent="0.25">
      <c r="C165" s="99" t="s">
        <v>121</v>
      </c>
      <c r="D165" s="661"/>
      <c r="E165" s="200">
        <f>D159/12</f>
        <v>0</v>
      </c>
      <c r="F165" s="100">
        <v>36</v>
      </c>
      <c r="G165" s="97">
        <f t="shared" si="15"/>
        <v>0</v>
      </c>
      <c r="H165" s="161"/>
      <c r="I165" s="98" t="s">
        <v>940</v>
      </c>
      <c r="J165" s="98" t="str">
        <f>VLOOKUP(I165,Presupuesto!$B$11:$C$566,2,0)</f>
        <v>UTILES DE ESCRITORIO, OFICINA Y ENSE¥ANZA</v>
      </c>
      <c r="K165" s="98" t="str">
        <f t="shared" si="16"/>
        <v>Gestión Tecnologías de Información y Comunicación</v>
      </c>
      <c r="L165" s="98" t="s">
        <v>410</v>
      </c>
    </row>
    <row r="166" spans="3:12" x14ac:dyDescent="0.25">
      <c r="C166" s="99" t="s">
        <v>34</v>
      </c>
      <c r="D166" s="661"/>
      <c r="E166" s="200">
        <f>D159/12</f>
        <v>0</v>
      </c>
      <c r="F166" s="100">
        <v>80</v>
      </c>
      <c r="G166" s="97">
        <f t="shared" si="15"/>
        <v>0</v>
      </c>
      <c r="H166" s="161"/>
      <c r="I166" s="98" t="s">
        <v>940</v>
      </c>
      <c r="J166" s="98" t="str">
        <f>VLOOKUP(I166,Presupuesto!$B$11:$C$566,2,0)</f>
        <v>UTILES DE ESCRITORIO, OFICINA Y ENSE¥ANZA</v>
      </c>
      <c r="K166" s="98" t="str">
        <f t="shared" si="16"/>
        <v>Gestión Tecnologías de Información y Comunicación</v>
      </c>
      <c r="L166" s="98" t="s">
        <v>410</v>
      </c>
    </row>
    <row r="167" spans="3:12" x14ac:dyDescent="0.25">
      <c r="C167" s="109" t="s">
        <v>52</v>
      </c>
      <c r="D167" s="661"/>
      <c r="E167" s="212">
        <v>0</v>
      </c>
      <c r="F167" s="119">
        <v>25</v>
      </c>
      <c r="G167" s="97">
        <f t="shared" si="15"/>
        <v>0</v>
      </c>
      <c r="H167" s="161"/>
      <c r="I167" s="98" t="s">
        <v>940</v>
      </c>
      <c r="J167" s="98" t="str">
        <f>VLOOKUP(I167,Presupuesto!$B$11:$C$566,2,0)</f>
        <v>UTILES DE ESCRITORIO, OFICINA Y ENSE¥ANZA</v>
      </c>
      <c r="K167" s="98" t="str">
        <f t="shared" si="16"/>
        <v>Gestión Tecnologías de Información y Comunicación</v>
      </c>
      <c r="L167" s="98" t="s">
        <v>410</v>
      </c>
    </row>
    <row r="168" spans="3:12" ht="15.75" thickBot="1" x14ac:dyDescent="0.3">
      <c r="C168" s="216" t="s">
        <v>428</v>
      </c>
      <c r="D168" s="217">
        <v>0</v>
      </c>
      <c r="E168" s="331">
        <v>0</v>
      </c>
      <c r="F168" s="104">
        <f>HLOOKUP(C168,$AH$2:$BU$3,2,0)</f>
        <v>1150</v>
      </c>
      <c r="G168" s="105">
        <f>D168*E168*F168</f>
        <v>0</v>
      </c>
      <c r="H168" s="332"/>
      <c r="I168" s="333" t="s">
        <v>299</v>
      </c>
      <c r="J168" s="106" t="str">
        <f>VLOOKUP(I168,Presupuesto!$B$11:$C$566,2,0)</f>
        <v>VIATICOS (26200-00)</v>
      </c>
      <c r="K168" s="334" t="str">
        <f t="shared" si="16"/>
        <v>Gestión Tecnologías de Información y Comunicación</v>
      </c>
      <c r="L168" s="334" t="s">
        <v>410</v>
      </c>
    </row>
    <row r="170" spans="3:12" ht="15.75" thickBot="1" x14ac:dyDescent="0.3"/>
    <row r="171" spans="3:12" ht="15.75" thickBot="1" x14ac:dyDescent="0.3">
      <c r="C171" s="29" t="s">
        <v>43</v>
      </c>
      <c r="D171" s="30">
        <f>SUM(G178:G187)</f>
        <v>0</v>
      </c>
      <c r="E171" s="93"/>
      <c r="F171" s="93"/>
      <c r="G171" s="93"/>
      <c r="H171" s="76"/>
      <c r="I171" s="76"/>
      <c r="J171" s="76"/>
      <c r="K171" s="112"/>
    </row>
    <row r="172" spans="3:12" x14ac:dyDescent="0.25">
      <c r="C172" s="70"/>
      <c r="D172" s="31"/>
      <c r="E172" s="93"/>
      <c r="F172" s="93"/>
      <c r="G172" s="93"/>
      <c r="H172" s="76"/>
      <c r="I172" s="76"/>
      <c r="J172" s="76"/>
      <c r="K172" s="112"/>
    </row>
    <row r="173" spans="3:12" x14ac:dyDescent="0.25">
      <c r="C173" s="70"/>
      <c r="D173" s="31"/>
      <c r="E173" s="93"/>
      <c r="F173" s="93"/>
      <c r="G173" s="93"/>
      <c r="H173" s="76"/>
      <c r="I173" s="76"/>
      <c r="J173" s="76"/>
      <c r="K173" s="112"/>
    </row>
    <row r="174" spans="3:12" ht="15.75" x14ac:dyDescent="0.25">
      <c r="C174" s="202" t="s">
        <v>390</v>
      </c>
      <c r="D174" s="368"/>
      <c r="E174" s="93"/>
      <c r="F174" s="93"/>
      <c r="G174" s="93"/>
      <c r="H174" s="76"/>
      <c r="I174" s="76"/>
      <c r="J174" s="76"/>
      <c r="K174" s="112"/>
    </row>
    <row r="175" spans="3:12" ht="18.75" x14ac:dyDescent="0.25">
      <c r="C175" s="210" t="e">
        <f>IFERROR(VLOOKUP(D174,'1. Desarrollo e Innov. Curricu.'!$F:$G,2,FALSE),IFERROR(VLOOKUP(D174,'2. Investigación Científica'!$F:$G,2,FALSE),IFERROR(VLOOKUP(D174,'3. Vinculación Univ. Sociedad'!$F:$G,2,FALSE),IFERROR(VLOOKUP(D174,'4. Docencia y Profesorado Univ.'!$F:$G,2,FALSE),IFERROR(VLOOKUP(D174,'5. Estudiantes y Graduados'!$F:$G,2,FALSE),IFERROR(VLOOKUP(D174,'11. Gestion Administrativa'!$F:$G,2,FALSE),IFERROR(VLOOKUP(D174,'13. Gestión Académica'!$F:$G,2,FALSE),IFERROR(VLOOKUP(D174,'9. Asegura. de la Calid. y M'!$F:$G,2,FALSE),IFERROR(VLOOKUP(D174,'6. Gestión del Conocimiento'!$F:$G,2,FALSE),IFERROR(VLOOKUP(D174,'15. Gobernabilidad y Proceso...'!$G:$H,2,FALSE),IFERROR(VLOOKUP(D174,'12. Gestión del Talento Humano'!$F:$G,2,FALSE),IFERROR(VLOOKUP(D174,'14. Internacional... de la E.S.'!$F:$G,2,FALSE),IFERROR(VLOOKUP(D174,'10. Posgrado'!$F:$G,2,FALSE),IFERROR(VLOOKUP(D174,'17. Gestión TIC'!$F:$G,2,FALSE),IFERROR(VLOOKUP(D174,'16. Desa. del Sistema Educ.Sup.'!$F:$G,2,FALSE),IFERROR(VLOOKUP(D174,'8. Cultura de Inno. Insti...'!$F:$G,2,FALSE),VLOOKUP(D174,'7. Lo Esencial de la Reforma U.'!$G:$H,2,0)))))))))))))))))</f>
        <v>#N/A</v>
      </c>
      <c r="D175" s="31"/>
      <c r="E175" s="93"/>
      <c r="F175" s="93"/>
      <c r="G175" s="93"/>
      <c r="H175" s="76"/>
      <c r="I175" s="76"/>
      <c r="J175" s="76"/>
      <c r="K175" s="112"/>
    </row>
    <row r="176" spans="3:12" ht="15.75" thickBot="1" x14ac:dyDescent="0.3">
      <c r="C176" s="70"/>
      <c r="D176" s="31"/>
      <c r="E176" s="93"/>
      <c r="F176" s="93"/>
      <c r="G176" s="93"/>
      <c r="H176" s="76"/>
      <c r="I176" s="76"/>
      <c r="J176" s="76"/>
      <c r="K176" s="112"/>
    </row>
    <row r="177" spans="3:12" ht="15.75" thickBot="1" x14ac:dyDescent="0.3">
      <c r="C177" s="126" t="s">
        <v>44</v>
      </c>
      <c r="D177" s="129" t="s">
        <v>45</v>
      </c>
      <c r="E177" s="128" t="s">
        <v>55</v>
      </c>
      <c r="F177" s="128" t="s">
        <v>57</v>
      </c>
      <c r="G177" s="127" t="s">
        <v>27</v>
      </c>
      <c r="H177" s="133" t="s">
        <v>129</v>
      </c>
      <c r="I177" s="128" t="s">
        <v>46</v>
      </c>
      <c r="J177" s="128" t="s">
        <v>130</v>
      </c>
      <c r="K177" s="128" t="s">
        <v>408</v>
      </c>
      <c r="L177" s="128" t="s">
        <v>409</v>
      </c>
    </row>
    <row r="178" spans="3:12" x14ac:dyDescent="0.25">
      <c r="C178" s="326" t="s">
        <v>47</v>
      </c>
      <c r="D178" s="660"/>
      <c r="E178" s="327"/>
      <c r="F178" s="115">
        <v>30000</v>
      </c>
      <c r="G178" s="328">
        <f t="shared" ref="G178:G186" si="17">E178*F178</f>
        <v>0</v>
      </c>
      <c r="H178" s="329"/>
      <c r="I178" s="116" t="s">
        <v>697</v>
      </c>
      <c r="J178" s="116" t="str">
        <f>VLOOKUP(I178,Presupuesto!$B$11:$C$566,2,0)</f>
        <v>SERVICIOS DE CAPACITACION.</v>
      </c>
      <c r="K178" s="330" t="s">
        <v>1503</v>
      </c>
      <c r="L178" s="116" t="s">
        <v>392</v>
      </c>
    </row>
    <row r="179" spans="3:12" x14ac:dyDescent="0.25">
      <c r="C179" s="99" t="s">
        <v>48</v>
      </c>
      <c r="D179" s="661"/>
      <c r="E179" s="200">
        <f>D178</f>
        <v>0</v>
      </c>
      <c r="F179" s="100">
        <v>50</v>
      </c>
      <c r="G179" s="97">
        <f t="shared" si="17"/>
        <v>0</v>
      </c>
      <c r="H179" s="161"/>
      <c r="I179" s="98" t="s">
        <v>715</v>
      </c>
      <c r="J179" s="98" t="str">
        <f>VLOOKUP(I179,Presupuesto!$B$11:$C$566,2,0)</f>
        <v>SERVICIOS DE IMPRENTA PUBLIC.Y REPRODUCCION</v>
      </c>
      <c r="K179" s="98" t="str">
        <f>$K$178</f>
        <v>Gestión Tecnologías de Información y Comunicación</v>
      </c>
      <c r="L179" s="98" t="s">
        <v>410</v>
      </c>
    </row>
    <row r="180" spans="3:12" x14ac:dyDescent="0.25">
      <c r="C180" s="99" t="s">
        <v>49</v>
      </c>
      <c r="D180" s="661"/>
      <c r="E180" s="200">
        <f>D178</f>
        <v>0</v>
      </c>
      <c r="F180" s="100">
        <v>150</v>
      </c>
      <c r="G180" s="97">
        <f t="shared" si="17"/>
        <v>0</v>
      </c>
      <c r="H180" s="161"/>
      <c r="I180" s="98" t="s">
        <v>790</v>
      </c>
      <c r="J180" s="98" t="str">
        <f>VLOOKUP(I180,Presupuesto!$B$11:$C$566,2,0)</f>
        <v>ALIMENTOS B EBIDAS PARA PERSONAS</v>
      </c>
      <c r="K180" s="98" t="str">
        <f t="shared" ref="K180:K187" si="18">$K$178</f>
        <v>Gestión Tecnologías de Información y Comunicación</v>
      </c>
      <c r="L180" s="98" t="s">
        <v>394</v>
      </c>
    </row>
    <row r="181" spans="3:12" x14ac:dyDescent="0.25">
      <c r="C181" s="99" t="s">
        <v>50</v>
      </c>
      <c r="D181" s="661"/>
      <c r="E181" s="151">
        <v>0</v>
      </c>
      <c r="F181" s="118">
        <v>10000</v>
      </c>
      <c r="G181" s="97">
        <f t="shared" si="17"/>
        <v>0</v>
      </c>
      <c r="H181" s="161"/>
      <c r="I181" s="321" t="s">
        <v>298</v>
      </c>
      <c r="J181" s="98" t="str">
        <f>VLOOKUP(I181,Presupuesto!$B$11:$C$566,2,0)</f>
        <v>PASAJES (26100-00)</v>
      </c>
      <c r="K181" s="98" t="str">
        <f t="shared" si="18"/>
        <v>Gestión Tecnologías de Información y Comunicación</v>
      </c>
      <c r="L181" s="98" t="s">
        <v>410</v>
      </c>
    </row>
    <row r="182" spans="3:12" x14ac:dyDescent="0.25">
      <c r="C182" s="99" t="s">
        <v>415</v>
      </c>
      <c r="D182" s="661"/>
      <c r="E182" s="151">
        <v>0</v>
      </c>
      <c r="F182" s="118">
        <v>250</v>
      </c>
      <c r="G182" s="97">
        <f t="shared" si="17"/>
        <v>0</v>
      </c>
      <c r="H182" s="161"/>
      <c r="I182" s="98" t="s">
        <v>819</v>
      </c>
      <c r="J182" s="98" t="str">
        <f>VLOOKUP(I182,Presupuesto!$B$11:$C$566,2,0)</f>
        <v>PRODUCTOS PAPEL Y CARTON</v>
      </c>
      <c r="K182" s="98" t="str">
        <f t="shared" si="18"/>
        <v>Gestión Tecnologías de Información y Comunicación</v>
      </c>
      <c r="L182" s="98" t="s">
        <v>410</v>
      </c>
    </row>
    <row r="183" spans="3:12" x14ac:dyDescent="0.25">
      <c r="C183" s="99" t="s">
        <v>51</v>
      </c>
      <c r="D183" s="661"/>
      <c r="E183" s="200">
        <f>(D178*25)/500</f>
        <v>0</v>
      </c>
      <c r="F183" s="100">
        <v>85</v>
      </c>
      <c r="G183" s="97">
        <f t="shared" si="17"/>
        <v>0</v>
      </c>
      <c r="H183" s="161"/>
      <c r="I183" s="98" t="s">
        <v>819</v>
      </c>
      <c r="J183" s="98" t="str">
        <f>VLOOKUP(I183,Presupuesto!$B$11:$C$566,2,0)</f>
        <v>PRODUCTOS PAPEL Y CARTON</v>
      </c>
      <c r="K183" s="98" t="str">
        <f t="shared" si="18"/>
        <v>Gestión Tecnologías de Información y Comunicación</v>
      </c>
      <c r="L183" s="98" t="s">
        <v>410</v>
      </c>
    </row>
    <row r="184" spans="3:12" x14ac:dyDescent="0.25">
      <c r="C184" s="99" t="s">
        <v>121</v>
      </c>
      <c r="D184" s="661"/>
      <c r="E184" s="200">
        <f>D178/12</f>
        <v>0</v>
      </c>
      <c r="F184" s="100">
        <v>36</v>
      </c>
      <c r="G184" s="97">
        <f t="shared" si="17"/>
        <v>0</v>
      </c>
      <c r="H184" s="161"/>
      <c r="I184" s="98" t="s">
        <v>940</v>
      </c>
      <c r="J184" s="98" t="str">
        <f>VLOOKUP(I184,Presupuesto!$B$11:$C$566,2,0)</f>
        <v>UTILES DE ESCRITORIO, OFICINA Y ENSE¥ANZA</v>
      </c>
      <c r="K184" s="98" t="str">
        <f t="shared" si="18"/>
        <v>Gestión Tecnologías de Información y Comunicación</v>
      </c>
      <c r="L184" s="98" t="s">
        <v>410</v>
      </c>
    </row>
    <row r="185" spans="3:12" x14ac:dyDescent="0.25">
      <c r="C185" s="99" t="s">
        <v>34</v>
      </c>
      <c r="D185" s="661"/>
      <c r="E185" s="200">
        <f>D178/12</f>
        <v>0</v>
      </c>
      <c r="F185" s="100">
        <v>80</v>
      </c>
      <c r="G185" s="97">
        <f t="shared" si="17"/>
        <v>0</v>
      </c>
      <c r="H185" s="161"/>
      <c r="I185" s="98" t="s">
        <v>940</v>
      </c>
      <c r="J185" s="98" t="str">
        <f>VLOOKUP(I185,Presupuesto!$B$11:$C$566,2,0)</f>
        <v>UTILES DE ESCRITORIO, OFICINA Y ENSE¥ANZA</v>
      </c>
      <c r="K185" s="98" t="str">
        <f t="shared" si="18"/>
        <v>Gestión Tecnologías de Información y Comunicación</v>
      </c>
      <c r="L185" s="98" t="s">
        <v>410</v>
      </c>
    </row>
    <row r="186" spans="3:12" x14ac:dyDescent="0.25">
      <c r="C186" s="109" t="s">
        <v>52</v>
      </c>
      <c r="D186" s="661"/>
      <c r="E186" s="212">
        <v>0</v>
      </c>
      <c r="F186" s="119">
        <v>25</v>
      </c>
      <c r="G186" s="97">
        <f t="shared" si="17"/>
        <v>0</v>
      </c>
      <c r="H186" s="161"/>
      <c r="I186" s="98" t="s">
        <v>940</v>
      </c>
      <c r="J186" s="98" t="str">
        <f>VLOOKUP(I186,Presupuesto!$B$11:$C$566,2,0)</f>
        <v>UTILES DE ESCRITORIO, OFICINA Y ENSE¥ANZA</v>
      </c>
      <c r="K186" s="98" t="str">
        <f t="shared" si="18"/>
        <v>Gestión Tecnologías de Información y Comunicación</v>
      </c>
      <c r="L186" s="98" t="s">
        <v>410</v>
      </c>
    </row>
    <row r="187" spans="3:12" ht="15.75" thickBot="1" x14ac:dyDescent="0.3">
      <c r="C187" s="216" t="s">
        <v>428</v>
      </c>
      <c r="D187" s="217">
        <v>0</v>
      </c>
      <c r="E187" s="331">
        <v>0</v>
      </c>
      <c r="F187" s="104">
        <f>HLOOKUP(C187,$AH$2:$BU$3,2,0)</f>
        <v>1150</v>
      </c>
      <c r="G187" s="105">
        <f>D187*E187*F187</f>
        <v>0</v>
      </c>
      <c r="H187" s="332"/>
      <c r="I187" s="333" t="s">
        <v>299</v>
      </c>
      <c r="J187" s="106" t="str">
        <f>VLOOKUP(I187,Presupuesto!$B$11:$C$566,2,0)</f>
        <v>VIATICOS (26200-00)</v>
      </c>
      <c r="K187" s="334" t="str">
        <f t="shared" si="18"/>
        <v>Gestión Tecnologías de Información y Comunicación</v>
      </c>
      <c r="L187" s="334" t="s">
        <v>410</v>
      </c>
    </row>
    <row r="188" spans="3:12" x14ac:dyDescent="0.25">
      <c r="C188" s="93"/>
      <c r="E188" s="112"/>
      <c r="F188" s="112"/>
      <c r="G188" s="112"/>
      <c r="H188" s="174"/>
      <c r="I188" s="112"/>
      <c r="J188" s="112"/>
      <c r="K188" s="112"/>
    </row>
    <row r="189" spans="3:12" ht="15.75" thickBot="1" x14ac:dyDescent="0.3"/>
    <row r="190" spans="3:12" ht="15.75" thickBot="1" x14ac:dyDescent="0.3">
      <c r="C190" s="29" t="s">
        <v>43</v>
      </c>
      <c r="D190" s="30">
        <f>SUM(G197:G206)</f>
        <v>0</v>
      </c>
      <c r="E190" s="93"/>
      <c r="F190" s="93"/>
      <c r="G190" s="93"/>
      <c r="H190" s="76"/>
      <c r="I190" s="76"/>
      <c r="J190" s="76"/>
      <c r="K190" s="112"/>
    </row>
    <row r="191" spans="3:12" x14ac:dyDescent="0.25">
      <c r="C191" s="70"/>
      <c r="D191" s="31"/>
      <c r="E191" s="93"/>
      <c r="F191" s="93"/>
      <c r="G191" s="93"/>
      <c r="H191" s="76"/>
      <c r="I191" s="76"/>
      <c r="J191" s="76"/>
      <c r="K191" s="112"/>
    </row>
    <row r="192" spans="3:12" x14ac:dyDescent="0.25">
      <c r="C192" s="70"/>
      <c r="D192" s="31"/>
      <c r="E192" s="93"/>
      <c r="F192" s="93"/>
      <c r="G192" s="93"/>
      <c r="H192" s="76"/>
      <c r="I192" s="76"/>
      <c r="J192" s="76"/>
      <c r="K192" s="112"/>
    </row>
    <row r="193" spans="3:12" ht="15.75" x14ac:dyDescent="0.25">
      <c r="C193" s="202" t="s">
        <v>390</v>
      </c>
      <c r="D193" s="368"/>
      <c r="E193" s="93"/>
      <c r="F193" s="93"/>
      <c r="G193" s="93"/>
      <c r="H193" s="76"/>
      <c r="I193" s="76"/>
      <c r="J193" s="76"/>
      <c r="K193" s="112"/>
    </row>
    <row r="194" spans="3:12" ht="18.75" x14ac:dyDescent="0.25">
      <c r="C194" s="210" t="e">
        <f>IFERROR(VLOOKUP(D193,'1. Desarrollo e Innov. Curricu.'!$F:$G,2,FALSE),IFERROR(VLOOKUP(D193,'2. Investigación Científica'!$F:$G,2,FALSE),IFERROR(VLOOKUP(D193,'3. Vinculación Univ. Sociedad'!$F:$G,2,FALSE),IFERROR(VLOOKUP(D193,'4. Docencia y Profesorado Univ.'!$F:$G,2,FALSE),IFERROR(VLOOKUP(D193,'5. Estudiantes y Graduados'!$F:$G,2,FALSE),IFERROR(VLOOKUP(D193,'11. Gestion Administrativa'!$F:$G,2,FALSE),IFERROR(VLOOKUP(D193,'13. Gestión Académica'!$F:$G,2,FALSE),IFERROR(VLOOKUP(D193,'9. Asegura. de la Calid. y M'!$F:$G,2,FALSE),IFERROR(VLOOKUP(D193,'6. Gestión del Conocimiento'!$F:$G,2,FALSE),IFERROR(VLOOKUP(D193,'15. Gobernabilidad y Proceso...'!$G:$H,2,FALSE),IFERROR(VLOOKUP(D193,'12. Gestión del Talento Humano'!$F:$G,2,FALSE),IFERROR(VLOOKUP(D193,'14. Internacional... de la E.S.'!$F:$G,2,FALSE),IFERROR(VLOOKUP(D193,'10. Posgrado'!$F:$G,2,FALSE),IFERROR(VLOOKUP(D193,'17. Gestión TIC'!$F:$G,2,FALSE),IFERROR(VLOOKUP(D193,'16. Desa. del Sistema Educ.Sup.'!$F:$G,2,FALSE),IFERROR(VLOOKUP(D193,'8. Cultura de Inno. Insti...'!$F:$G,2,FALSE),VLOOKUP(D193,'7. Lo Esencial de la Reforma U.'!$G:$H,2,0)))))))))))))))))</f>
        <v>#N/A</v>
      </c>
      <c r="D194" s="31"/>
      <c r="E194" s="93"/>
      <c r="F194" s="93"/>
      <c r="G194" s="93"/>
      <c r="H194" s="76"/>
      <c r="I194" s="76"/>
      <c r="J194" s="76"/>
      <c r="K194" s="112"/>
    </row>
    <row r="195" spans="3:12" ht="15.75" thickBot="1" x14ac:dyDescent="0.3">
      <c r="C195" s="70"/>
      <c r="D195" s="31"/>
      <c r="E195" s="93"/>
      <c r="F195" s="93"/>
      <c r="G195" s="93"/>
      <c r="H195" s="76"/>
      <c r="I195" s="76"/>
      <c r="J195" s="76"/>
      <c r="K195" s="112"/>
    </row>
    <row r="196" spans="3:12" ht="15.75" thickBot="1" x14ac:dyDescent="0.3">
      <c r="C196" s="126" t="s">
        <v>44</v>
      </c>
      <c r="D196" s="129" t="s">
        <v>45</v>
      </c>
      <c r="E196" s="128" t="s">
        <v>55</v>
      </c>
      <c r="F196" s="128" t="s">
        <v>57</v>
      </c>
      <c r="G196" s="127" t="s">
        <v>27</v>
      </c>
      <c r="H196" s="133" t="s">
        <v>129</v>
      </c>
      <c r="I196" s="128" t="s">
        <v>46</v>
      </c>
      <c r="J196" s="128" t="s">
        <v>130</v>
      </c>
      <c r="K196" s="128" t="s">
        <v>408</v>
      </c>
      <c r="L196" s="128" t="s">
        <v>409</v>
      </c>
    </row>
    <row r="197" spans="3:12" x14ac:dyDescent="0.25">
      <c r="C197" s="326" t="s">
        <v>47</v>
      </c>
      <c r="D197" s="660"/>
      <c r="E197" s="327"/>
      <c r="F197" s="115">
        <v>30000</v>
      </c>
      <c r="G197" s="328">
        <f t="shared" ref="G197:G205" si="19">E197*F197</f>
        <v>0</v>
      </c>
      <c r="H197" s="329"/>
      <c r="I197" s="116" t="s">
        <v>697</v>
      </c>
      <c r="J197" s="116" t="str">
        <f>VLOOKUP(I197,Presupuesto!$B$11:$C$566,2,0)</f>
        <v>SERVICIOS DE CAPACITACION.</v>
      </c>
      <c r="K197" s="330" t="s">
        <v>1503</v>
      </c>
      <c r="L197" s="116" t="s">
        <v>392</v>
      </c>
    </row>
    <row r="198" spans="3:12" x14ac:dyDescent="0.25">
      <c r="C198" s="99" t="s">
        <v>48</v>
      </c>
      <c r="D198" s="661"/>
      <c r="E198" s="200">
        <f>D197</f>
        <v>0</v>
      </c>
      <c r="F198" s="100">
        <v>50</v>
      </c>
      <c r="G198" s="97">
        <f t="shared" si="19"/>
        <v>0</v>
      </c>
      <c r="H198" s="161"/>
      <c r="I198" s="98" t="s">
        <v>715</v>
      </c>
      <c r="J198" s="98" t="str">
        <f>VLOOKUP(I198,Presupuesto!$B$11:$C$566,2,0)</f>
        <v>SERVICIOS DE IMPRENTA PUBLIC.Y REPRODUCCION</v>
      </c>
      <c r="K198" s="98" t="str">
        <f>$K$197</f>
        <v>Gestión Tecnologías de Información y Comunicación</v>
      </c>
      <c r="L198" s="98" t="s">
        <v>410</v>
      </c>
    </row>
    <row r="199" spans="3:12" x14ac:dyDescent="0.25">
      <c r="C199" s="99" t="s">
        <v>49</v>
      </c>
      <c r="D199" s="661"/>
      <c r="E199" s="200">
        <f>D197</f>
        <v>0</v>
      </c>
      <c r="F199" s="100">
        <v>150</v>
      </c>
      <c r="G199" s="97">
        <f t="shared" si="19"/>
        <v>0</v>
      </c>
      <c r="H199" s="161"/>
      <c r="I199" s="98" t="s">
        <v>790</v>
      </c>
      <c r="J199" s="98" t="str">
        <f>VLOOKUP(I199,Presupuesto!$B$11:$C$566,2,0)</f>
        <v>ALIMENTOS B EBIDAS PARA PERSONAS</v>
      </c>
      <c r="K199" s="98" t="str">
        <f t="shared" ref="K199:K206" si="20">$K$197</f>
        <v>Gestión Tecnologías de Información y Comunicación</v>
      </c>
      <c r="L199" s="98" t="s">
        <v>394</v>
      </c>
    </row>
    <row r="200" spans="3:12" x14ac:dyDescent="0.25">
      <c r="C200" s="99" t="s">
        <v>50</v>
      </c>
      <c r="D200" s="661"/>
      <c r="E200" s="151">
        <v>0</v>
      </c>
      <c r="F200" s="118">
        <v>10000</v>
      </c>
      <c r="G200" s="97">
        <f t="shared" si="19"/>
        <v>0</v>
      </c>
      <c r="H200" s="161"/>
      <c r="I200" s="321" t="s">
        <v>298</v>
      </c>
      <c r="J200" s="98" t="str">
        <f>VLOOKUP(I200,Presupuesto!$B$11:$C$566,2,0)</f>
        <v>PASAJES (26100-00)</v>
      </c>
      <c r="K200" s="98" t="str">
        <f t="shared" si="20"/>
        <v>Gestión Tecnologías de Información y Comunicación</v>
      </c>
      <c r="L200" s="98" t="s">
        <v>410</v>
      </c>
    </row>
    <row r="201" spans="3:12" x14ac:dyDescent="0.25">
      <c r="C201" s="99" t="s">
        <v>415</v>
      </c>
      <c r="D201" s="661"/>
      <c r="E201" s="151">
        <v>0</v>
      </c>
      <c r="F201" s="118">
        <v>250</v>
      </c>
      <c r="G201" s="97">
        <f t="shared" si="19"/>
        <v>0</v>
      </c>
      <c r="H201" s="161"/>
      <c r="I201" s="98" t="s">
        <v>819</v>
      </c>
      <c r="J201" s="98" t="str">
        <f>VLOOKUP(I201,Presupuesto!$B$11:$C$566,2,0)</f>
        <v>PRODUCTOS PAPEL Y CARTON</v>
      </c>
      <c r="K201" s="98" t="str">
        <f t="shared" si="20"/>
        <v>Gestión Tecnologías de Información y Comunicación</v>
      </c>
      <c r="L201" s="98" t="s">
        <v>410</v>
      </c>
    </row>
    <row r="202" spans="3:12" x14ac:dyDescent="0.25">
      <c r="C202" s="99" t="s">
        <v>51</v>
      </c>
      <c r="D202" s="661"/>
      <c r="E202" s="200">
        <f>(D197*25)/500</f>
        <v>0</v>
      </c>
      <c r="F202" s="100">
        <v>85</v>
      </c>
      <c r="G202" s="97">
        <f t="shared" si="19"/>
        <v>0</v>
      </c>
      <c r="H202" s="161"/>
      <c r="I202" s="98" t="s">
        <v>819</v>
      </c>
      <c r="J202" s="98" t="str">
        <f>VLOOKUP(I202,Presupuesto!$B$11:$C$566,2,0)</f>
        <v>PRODUCTOS PAPEL Y CARTON</v>
      </c>
      <c r="K202" s="98" t="str">
        <f t="shared" si="20"/>
        <v>Gestión Tecnologías de Información y Comunicación</v>
      </c>
      <c r="L202" s="98" t="s">
        <v>410</v>
      </c>
    </row>
    <row r="203" spans="3:12" x14ac:dyDescent="0.25">
      <c r="C203" s="99" t="s">
        <v>121</v>
      </c>
      <c r="D203" s="661"/>
      <c r="E203" s="200">
        <f>D197/12</f>
        <v>0</v>
      </c>
      <c r="F203" s="100">
        <v>36</v>
      </c>
      <c r="G203" s="97">
        <f t="shared" si="19"/>
        <v>0</v>
      </c>
      <c r="H203" s="161"/>
      <c r="I203" s="98" t="s">
        <v>940</v>
      </c>
      <c r="J203" s="98" t="str">
        <f>VLOOKUP(I203,Presupuesto!$B$11:$C$566,2,0)</f>
        <v>UTILES DE ESCRITORIO, OFICINA Y ENSE¥ANZA</v>
      </c>
      <c r="K203" s="98" t="str">
        <f t="shared" si="20"/>
        <v>Gestión Tecnologías de Información y Comunicación</v>
      </c>
      <c r="L203" s="98" t="s">
        <v>410</v>
      </c>
    </row>
    <row r="204" spans="3:12" x14ac:dyDescent="0.25">
      <c r="C204" s="99" t="s">
        <v>34</v>
      </c>
      <c r="D204" s="661"/>
      <c r="E204" s="200">
        <f>D197/12</f>
        <v>0</v>
      </c>
      <c r="F204" s="100">
        <v>80</v>
      </c>
      <c r="G204" s="97">
        <f t="shared" si="19"/>
        <v>0</v>
      </c>
      <c r="H204" s="161"/>
      <c r="I204" s="98" t="s">
        <v>940</v>
      </c>
      <c r="J204" s="98" t="str">
        <f>VLOOKUP(I204,Presupuesto!$B$11:$C$566,2,0)</f>
        <v>UTILES DE ESCRITORIO, OFICINA Y ENSE¥ANZA</v>
      </c>
      <c r="K204" s="98" t="str">
        <f t="shared" si="20"/>
        <v>Gestión Tecnologías de Información y Comunicación</v>
      </c>
      <c r="L204" s="98" t="s">
        <v>410</v>
      </c>
    </row>
    <row r="205" spans="3:12" x14ac:dyDescent="0.25">
      <c r="C205" s="109" t="s">
        <v>52</v>
      </c>
      <c r="D205" s="661"/>
      <c r="E205" s="212">
        <v>0</v>
      </c>
      <c r="F205" s="119">
        <v>25</v>
      </c>
      <c r="G205" s="97">
        <f t="shared" si="19"/>
        <v>0</v>
      </c>
      <c r="H205" s="161"/>
      <c r="I205" s="98" t="s">
        <v>940</v>
      </c>
      <c r="J205" s="98" t="str">
        <f>VLOOKUP(I205,Presupuesto!$B$11:$C$566,2,0)</f>
        <v>UTILES DE ESCRITORIO, OFICINA Y ENSE¥ANZA</v>
      </c>
      <c r="K205" s="98" t="str">
        <f t="shared" si="20"/>
        <v>Gestión Tecnologías de Información y Comunicación</v>
      </c>
      <c r="L205" s="98" t="s">
        <v>410</v>
      </c>
    </row>
    <row r="206" spans="3:12" ht="15.75" thickBot="1" x14ac:dyDescent="0.3">
      <c r="C206" s="216" t="s">
        <v>428</v>
      </c>
      <c r="D206" s="217">
        <v>0</v>
      </c>
      <c r="E206" s="331">
        <v>0</v>
      </c>
      <c r="F206" s="104">
        <f>HLOOKUP(C206,$AH$2:$BU$3,2,0)</f>
        <v>1150</v>
      </c>
      <c r="G206" s="105">
        <f>D206*E206*F206</f>
        <v>0</v>
      </c>
      <c r="H206" s="332"/>
      <c r="I206" s="333" t="s">
        <v>299</v>
      </c>
      <c r="J206" s="106" t="str">
        <f>VLOOKUP(I206,Presupuesto!$B$11:$C$566,2,0)</f>
        <v>VIATICOS (26200-00)</v>
      </c>
      <c r="K206" s="334" t="str">
        <f t="shared" si="20"/>
        <v>Gestión Tecnologías de Información y Comunicación</v>
      </c>
      <c r="L206" s="334" t="s">
        <v>410</v>
      </c>
    </row>
    <row r="208" spans="3:12" ht="15.75" thickBot="1" x14ac:dyDescent="0.3"/>
    <row r="209" spans="3:12" ht="15.75" thickBot="1" x14ac:dyDescent="0.3">
      <c r="C209" s="29" t="s">
        <v>43</v>
      </c>
      <c r="D209" s="30">
        <f>SUM(G216:G225)</f>
        <v>0</v>
      </c>
      <c r="E209" s="93"/>
      <c r="F209" s="93"/>
      <c r="G209" s="93"/>
      <c r="H209" s="76"/>
      <c r="I209" s="76"/>
      <c r="J209" s="76"/>
      <c r="K209" s="112"/>
    </row>
    <row r="210" spans="3:12" x14ac:dyDescent="0.25">
      <c r="C210" s="70"/>
      <c r="D210" s="31"/>
      <c r="E210" s="93"/>
      <c r="F210" s="93"/>
      <c r="G210" s="93"/>
      <c r="H210" s="76"/>
      <c r="I210" s="76"/>
      <c r="J210" s="76"/>
      <c r="K210" s="112"/>
    </row>
    <row r="211" spans="3:12" x14ac:dyDescent="0.25">
      <c r="C211" s="70"/>
      <c r="D211" s="31"/>
      <c r="E211" s="93"/>
      <c r="F211" s="93"/>
      <c r="G211" s="93"/>
      <c r="H211" s="76"/>
      <c r="I211" s="76"/>
      <c r="J211" s="76"/>
      <c r="K211" s="112"/>
    </row>
    <row r="212" spans="3:12" ht="15.75" x14ac:dyDescent="0.25">
      <c r="C212" s="202" t="s">
        <v>390</v>
      </c>
      <c r="D212" s="368"/>
      <c r="E212" s="93"/>
      <c r="F212" s="93"/>
      <c r="G212" s="93"/>
      <c r="H212" s="76"/>
      <c r="I212" s="76"/>
      <c r="J212" s="76"/>
      <c r="K212" s="112"/>
    </row>
    <row r="213" spans="3:12" ht="18.75" x14ac:dyDescent="0.25">
      <c r="C213" s="210" t="e">
        <f>IFERROR(VLOOKUP(D212,'1. Desarrollo e Innov. Curricu.'!$F:$G,2,FALSE),IFERROR(VLOOKUP(D212,'2. Investigación Científica'!$F:$G,2,FALSE),IFERROR(VLOOKUP(D212,'3. Vinculación Univ. Sociedad'!$F:$G,2,FALSE),IFERROR(VLOOKUP(D212,'4. Docencia y Profesorado Univ.'!$F:$G,2,FALSE),IFERROR(VLOOKUP(D212,'5. Estudiantes y Graduados'!$F:$G,2,FALSE),IFERROR(VLOOKUP(D212,'11. Gestion Administrativa'!$F:$G,2,FALSE),IFERROR(VLOOKUP(D212,'13. Gestión Académica'!$F:$G,2,FALSE),IFERROR(VLOOKUP(D212,'9. Asegura. de la Calid. y M'!$F:$G,2,FALSE),IFERROR(VLOOKUP(D212,'6. Gestión del Conocimiento'!$F:$G,2,FALSE),IFERROR(VLOOKUP(D212,'15. Gobernabilidad y Proceso...'!$G:$H,2,FALSE),IFERROR(VLOOKUP(D212,'12. Gestión del Talento Humano'!$F:$G,2,FALSE),IFERROR(VLOOKUP(D212,'14. Internacional... de la E.S.'!$F:$G,2,FALSE),IFERROR(VLOOKUP(D212,'10. Posgrado'!$F:$G,2,FALSE),IFERROR(VLOOKUP(D212,'17. Gestión TIC'!$F:$G,2,FALSE),IFERROR(VLOOKUP(D212,'16. Desa. del Sistema Educ.Sup.'!$F:$G,2,FALSE),IFERROR(VLOOKUP(D212,'8. Cultura de Inno. Insti...'!$F:$G,2,FALSE),VLOOKUP(D212,'7. Lo Esencial de la Reforma U.'!$G:$H,2,0)))))))))))))))))</f>
        <v>#N/A</v>
      </c>
      <c r="D213" s="31"/>
      <c r="E213" s="93"/>
      <c r="F213" s="93"/>
      <c r="G213" s="93"/>
      <c r="H213" s="76"/>
      <c r="I213" s="76"/>
      <c r="J213" s="76"/>
      <c r="K213" s="112"/>
    </row>
    <row r="214" spans="3:12" ht="15.75" thickBot="1" x14ac:dyDescent="0.3">
      <c r="C214" s="70"/>
      <c r="D214" s="31"/>
      <c r="E214" s="93"/>
      <c r="F214" s="93"/>
      <c r="G214" s="93"/>
      <c r="H214" s="76"/>
      <c r="I214" s="76"/>
      <c r="J214" s="76"/>
      <c r="K214" s="112"/>
    </row>
    <row r="215" spans="3:12" ht="15.75" thickBot="1" x14ac:dyDescent="0.3">
      <c r="C215" s="126" t="s">
        <v>44</v>
      </c>
      <c r="D215" s="129" t="s">
        <v>45</v>
      </c>
      <c r="E215" s="128" t="s">
        <v>55</v>
      </c>
      <c r="F215" s="128" t="s">
        <v>57</v>
      </c>
      <c r="G215" s="127" t="s">
        <v>27</v>
      </c>
      <c r="H215" s="133" t="s">
        <v>129</v>
      </c>
      <c r="I215" s="128" t="s">
        <v>46</v>
      </c>
      <c r="J215" s="128" t="s">
        <v>130</v>
      </c>
      <c r="K215" s="128" t="s">
        <v>408</v>
      </c>
      <c r="L215" s="128" t="s">
        <v>409</v>
      </c>
    </row>
    <row r="216" spans="3:12" x14ac:dyDescent="0.25">
      <c r="C216" s="326" t="s">
        <v>47</v>
      </c>
      <c r="D216" s="660"/>
      <c r="E216" s="327"/>
      <c r="F216" s="115">
        <v>30000</v>
      </c>
      <c r="G216" s="328">
        <f t="shared" ref="G216:G224" si="21">E216*F216</f>
        <v>0</v>
      </c>
      <c r="H216" s="329"/>
      <c r="I216" s="116" t="s">
        <v>697</v>
      </c>
      <c r="J216" s="116" t="str">
        <f>VLOOKUP(I216,Presupuesto!$B$11:$C$566,2,0)</f>
        <v>SERVICIOS DE CAPACITACION.</v>
      </c>
      <c r="K216" s="330" t="s">
        <v>1503</v>
      </c>
      <c r="L216" s="116" t="s">
        <v>392</v>
      </c>
    </row>
    <row r="217" spans="3:12" x14ac:dyDescent="0.25">
      <c r="C217" s="99" t="s">
        <v>48</v>
      </c>
      <c r="D217" s="661"/>
      <c r="E217" s="200">
        <f>D216</f>
        <v>0</v>
      </c>
      <c r="F217" s="100">
        <v>50</v>
      </c>
      <c r="G217" s="97">
        <f t="shared" si="21"/>
        <v>0</v>
      </c>
      <c r="H217" s="161"/>
      <c r="I217" s="98" t="s">
        <v>715</v>
      </c>
      <c r="J217" s="98" t="str">
        <f>VLOOKUP(I217,Presupuesto!$B$11:$C$566,2,0)</f>
        <v>SERVICIOS DE IMPRENTA PUBLIC.Y REPRODUCCION</v>
      </c>
      <c r="K217" s="98" t="str">
        <f>$K$216</f>
        <v>Gestión Tecnologías de Información y Comunicación</v>
      </c>
      <c r="L217" s="98" t="s">
        <v>410</v>
      </c>
    </row>
    <row r="218" spans="3:12" x14ac:dyDescent="0.25">
      <c r="C218" s="99" t="s">
        <v>49</v>
      </c>
      <c r="D218" s="661"/>
      <c r="E218" s="200">
        <f>D216</f>
        <v>0</v>
      </c>
      <c r="F218" s="100">
        <v>150</v>
      </c>
      <c r="G218" s="97">
        <f t="shared" si="21"/>
        <v>0</v>
      </c>
      <c r="H218" s="161"/>
      <c r="I218" s="98" t="s">
        <v>790</v>
      </c>
      <c r="J218" s="98" t="str">
        <f>VLOOKUP(I218,Presupuesto!$B$11:$C$566,2,0)</f>
        <v>ALIMENTOS B EBIDAS PARA PERSONAS</v>
      </c>
      <c r="K218" s="98" t="str">
        <f t="shared" ref="K218:K225" si="22">$K$216</f>
        <v>Gestión Tecnologías de Información y Comunicación</v>
      </c>
      <c r="L218" s="98" t="s">
        <v>394</v>
      </c>
    </row>
    <row r="219" spans="3:12" x14ac:dyDescent="0.25">
      <c r="C219" s="99" t="s">
        <v>50</v>
      </c>
      <c r="D219" s="661"/>
      <c r="E219" s="151">
        <v>0</v>
      </c>
      <c r="F219" s="118">
        <v>10000</v>
      </c>
      <c r="G219" s="97">
        <f t="shared" si="21"/>
        <v>0</v>
      </c>
      <c r="H219" s="161"/>
      <c r="I219" s="321" t="s">
        <v>298</v>
      </c>
      <c r="J219" s="98" t="str">
        <f>VLOOKUP(I219,Presupuesto!$B$11:$C$566,2,0)</f>
        <v>PASAJES (26100-00)</v>
      </c>
      <c r="K219" s="98" t="str">
        <f t="shared" si="22"/>
        <v>Gestión Tecnologías de Información y Comunicación</v>
      </c>
      <c r="L219" s="98" t="s">
        <v>410</v>
      </c>
    </row>
    <row r="220" spans="3:12" x14ac:dyDescent="0.25">
      <c r="C220" s="99" t="s">
        <v>415</v>
      </c>
      <c r="D220" s="661"/>
      <c r="E220" s="151">
        <v>0</v>
      </c>
      <c r="F220" s="118">
        <v>250</v>
      </c>
      <c r="G220" s="97">
        <f t="shared" si="21"/>
        <v>0</v>
      </c>
      <c r="H220" s="161"/>
      <c r="I220" s="98" t="s">
        <v>819</v>
      </c>
      <c r="J220" s="98" t="str">
        <f>VLOOKUP(I220,Presupuesto!$B$11:$C$566,2,0)</f>
        <v>PRODUCTOS PAPEL Y CARTON</v>
      </c>
      <c r="K220" s="98" t="str">
        <f t="shared" si="22"/>
        <v>Gestión Tecnologías de Información y Comunicación</v>
      </c>
      <c r="L220" s="98" t="s">
        <v>410</v>
      </c>
    </row>
    <row r="221" spans="3:12" x14ac:dyDescent="0.25">
      <c r="C221" s="99" t="s">
        <v>51</v>
      </c>
      <c r="D221" s="661"/>
      <c r="E221" s="200">
        <f>(D216*25)/500</f>
        <v>0</v>
      </c>
      <c r="F221" s="100">
        <v>85</v>
      </c>
      <c r="G221" s="97">
        <f t="shared" si="21"/>
        <v>0</v>
      </c>
      <c r="H221" s="161"/>
      <c r="I221" s="98" t="s">
        <v>819</v>
      </c>
      <c r="J221" s="98" t="str">
        <f>VLOOKUP(I221,Presupuesto!$B$11:$C$566,2,0)</f>
        <v>PRODUCTOS PAPEL Y CARTON</v>
      </c>
      <c r="K221" s="98" t="str">
        <f t="shared" si="22"/>
        <v>Gestión Tecnologías de Información y Comunicación</v>
      </c>
      <c r="L221" s="98" t="s">
        <v>410</v>
      </c>
    </row>
    <row r="222" spans="3:12" x14ac:dyDescent="0.25">
      <c r="C222" s="99" t="s">
        <v>121</v>
      </c>
      <c r="D222" s="661"/>
      <c r="E222" s="200">
        <f>D216/12</f>
        <v>0</v>
      </c>
      <c r="F222" s="100">
        <v>36</v>
      </c>
      <c r="G222" s="97">
        <f t="shared" si="21"/>
        <v>0</v>
      </c>
      <c r="H222" s="161"/>
      <c r="I222" s="98" t="s">
        <v>940</v>
      </c>
      <c r="J222" s="98" t="str">
        <f>VLOOKUP(I222,Presupuesto!$B$11:$C$566,2,0)</f>
        <v>UTILES DE ESCRITORIO, OFICINA Y ENSE¥ANZA</v>
      </c>
      <c r="K222" s="98" t="str">
        <f t="shared" si="22"/>
        <v>Gestión Tecnologías de Información y Comunicación</v>
      </c>
      <c r="L222" s="98" t="s">
        <v>410</v>
      </c>
    </row>
    <row r="223" spans="3:12" x14ac:dyDescent="0.25">
      <c r="C223" s="99" t="s">
        <v>34</v>
      </c>
      <c r="D223" s="661"/>
      <c r="E223" s="200">
        <f>D216/12</f>
        <v>0</v>
      </c>
      <c r="F223" s="100">
        <v>80</v>
      </c>
      <c r="G223" s="97">
        <f t="shared" si="21"/>
        <v>0</v>
      </c>
      <c r="H223" s="161"/>
      <c r="I223" s="98" t="s">
        <v>940</v>
      </c>
      <c r="J223" s="98" t="str">
        <f>VLOOKUP(I223,Presupuesto!$B$11:$C$566,2,0)</f>
        <v>UTILES DE ESCRITORIO, OFICINA Y ENSE¥ANZA</v>
      </c>
      <c r="K223" s="98" t="str">
        <f t="shared" si="22"/>
        <v>Gestión Tecnologías de Información y Comunicación</v>
      </c>
      <c r="L223" s="98" t="s">
        <v>410</v>
      </c>
    </row>
    <row r="224" spans="3:12" x14ac:dyDescent="0.25">
      <c r="C224" s="109" t="s">
        <v>52</v>
      </c>
      <c r="D224" s="661"/>
      <c r="E224" s="212">
        <v>0</v>
      </c>
      <c r="F224" s="119">
        <v>25</v>
      </c>
      <c r="G224" s="97">
        <f t="shared" si="21"/>
        <v>0</v>
      </c>
      <c r="H224" s="161"/>
      <c r="I224" s="98" t="s">
        <v>940</v>
      </c>
      <c r="J224" s="98" t="str">
        <f>VLOOKUP(I224,Presupuesto!$B$11:$C$566,2,0)</f>
        <v>UTILES DE ESCRITORIO, OFICINA Y ENSE¥ANZA</v>
      </c>
      <c r="K224" s="98" t="str">
        <f t="shared" si="22"/>
        <v>Gestión Tecnologías de Información y Comunicación</v>
      </c>
      <c r="L224" s="98" t="s">
        <v>410</v>
      </c>
    </row>
    <row r="225" spans="3:12" ht="15.75" thickBot="1" x14ac:dyDescent="0.3">
      <c r="C225" s="216" t="s">
        <v>428</v>
      </c>
      <c r="D225" s="217">
        <v>0</v>
      </c>
      <c r="E225" s="331">
        <v>0</v>
      </c>
      <c r="F225" s="104">
        <f>HLOOKUP(C225,$AH$2:$BU$3,2,0)</f>
        <v>1150</v>
      </c>
      <c r="G225" s="105">
        <f>D225*E225*F225</f>
        <v>0</v>
      </c>
      <c r="H225" s="332"/>
      <c r="I225" s="333" t="s">
        <v>299</v>
      </c>
      <c r="J225" s="106" t="str">
        <f>VLOOKUP(I225,Presupuesto!$B$11:$C$566,2,0)</f>
        <v>VIATICOS (26200-00)</v>
      </c>
      <c r="K225" s="334" t="str">
        <f t="shared" si="22"/>
        <v>Gestión Tecnologías de Información y Comunicación</v>
      </c>
      <c r="L225" s="334" t="s">
        <v>410</v>
      </c>
    </row>
    <row r="226" spans="3:12" x14ac:dyDescent="0.25">
      <c r="C226" s="93"/>
      <c r="E226" s="112"/>
      <c r="F226" s="112"/>
      <c r="G226" s="112"/>
      <c r="H226" s="174"/>
      <c r="I226" s="112"/>
      <c r="J226" s="112"/>
      <c r="K226" s="112"/>
    </row>
    <row r="227" spans="3:12" ht="15.75" thickBot="1" x14ac:dyDescent="0.3"/>
    <row r="228" spans="3:12" ht="15.75" thickBot="1" x14ac:dyDescent="0.3">
      <c r="C228" s="29" t="s">
        <v>43</v>
      </c>
      <c r="D228" s="30">
        <f>SUM(G235:G244)</f>
        <v>0</v>
      </c>
      <c r="E228" s="93"/>
      <c r="F228" s="93"/>
      <c r="G228" s="93"/>
      <c r="H228" s="76"/>
      <c r="I228" s="76"/>
      <c r="J228" s="76"/>
      <c r="K228" s="112"/>
    </row>
    <row r="229" spans="3:12" x14ac:dyDescent="0.25">
      <c r="C229" s="70"/>
      <c r="D229" s="31"/>
      <c r="E229" s="93"/>
      <c r="F229" s="93"/>
      <c r="G229" s="93"/>
      <c r="H229" s="76"/>
      <c r="I229" s="76"/>
      <c r="J229" s="76"/>
      <c r="K229" s="112"/>
    </row>
    <row r="230" spans="3:12" x14ac:dyDescent="0.25">
      <c r="C230" s="70"/>
      <c r="D230" s="31"/>
      <c r="E230" s="93"/>
      <c r="F230" s="93"/>
      <c r="G230" s="93"/>
      <c r="H230" s="76"/>
      <c r="I230" s="76"/>
      <c r="J230" s="76"/>
      <c r="K230" s="112"/>
    </row>
    <row r="231" spans="3:12" ht="15.75" x14ac:dyDescent="0.25">
      <c r="C231" s="202" t="s">
        <v>390</v>
      </c>
      <c r="D231" s="368"/>
      <c r="E231" s="93"/>
      <c r="F231" s="93"/>
      <c r="G231" s="93"/>
      <c r="H231" s="76"/>
      <c r="I231" s="76"/>
      <c r="J231" s="76"/>
      <c r="K231" s="112"/>
    </row>
    <row r="232" spans="3:12" ht="18.75" x14ac:dyDescent="0.25">
      <c r="C232" s="210" t="e">
        <f>IFERROR(VLOOKUP(D231,'1. Desarrollo e Innov. Curricu.'!$F:$G,2,FALSE),IFERROR(VLOOKUP(D231,'2. Investigación Científica'!$F:$G,2,FALSE),IFERROR(VLOOKUP(D231,'3. Vinculación Univ. Sociedad'!$F:$G,2,FALSE),IFERROR(VLOOKUP(D231,'4. Docencia y Profesorado Univ.'!$F:$G,2,FALSE),IFERROR(VLOOKUP(D231,'5. Estudiantes y Graduados'!$F:$G,2,FALSE),IFERROR(VLOOKUP(D231,'11. Gestion Administrativa'!$F:$G,2,FALSE),IFERROR(VLOOKUP(D231,'13. Gestión Académica'!$F:$G,2,FALSE),IFERROR(VLOOKUP(D231,'9. Asegura. de la Calid. y M'!$F:$G,2,FALSE),IFERROR(VLOOKUP(D231,'6. Gestión del Conocimiento'!$F:$G,2,FALSE),IFERROR(VLOOKUP(D231,'15. Gobernabilidad y Proceso...'!$G:$H,2,FALSE),IFERROR(VLOOKUP(D231,'12. Gestión del Talento Humano'!$F:$G,2,FALSE),IFERROR(VLOOKUP(D231,'14. Internacional... de la E.S.'!$F:$G,2,FALSE),IFERROR(VLOOKUP(D231,'10. Posgrado'!$F:$G,2,FALSE),IFERROR(VLOOKUP(D231,'17. Gestión TIC'!$F:$G,2,FALSE),IFERROR(VLOOKUP(D231,'16. Desa. del Sistema Educ.Sup.'!$F:$G,2,FALSE),IFERROR(VLOOKUP(D231,'8. Cultura de Inno. Insti...'!$F:$G,2,FALSE),VLOOKUP(D231,'7. Lo Esencial de la Reforma U.'!$G:$H,2,0)))))))))))))))))</f>
        <v>#N/A</v>
      </c>
      <c r="D232" s="31"/>
      <c r="E232" s="93"/>
      <c r="F232" s="93"/>
      <c r="G232" s="93"/>
      <c r="H232" s="76"/>
      <c r="I232" s="76"/>
      <c r="J232" s="76"/>
      <c r="K232" s="112"/>
    </row>
    <row r="233" spans="3:12" ht="15.75" thickBot="1" x14ac:dyDescent="0.3">
      <c r="C233" s="70"/>
      <c r="D233" s="31"/>
      <c r="E233" s="93"/>
      <c r="F233" s="93"/>
      <c r="G233" s="93"/>
      <c r="H233" s="76"/>
      <c r="I233" s="76"/>
      <c r="J233" s="76"/>
      <c r="K233" s="112"/>
    </row>
    <row r="234" spans="3:12" ht="15.75" thickBot="1" x14ac:dyDescent="0.3">
      <c r="C234" s="126" t="s">
        <v>44</v>
      </c>
      <c r="D234" s="129" t="s">
        <v>45</v>
      </c>
      <c r="E234" s="128" t="s">
        <v>55</v>
      </c>
      <c r="F234" s="128" t="s">
        <v>57</v>
      </c>
      <c r="G234" s="127" t="s">
        <v>27</v>
      </c>
      <c r="H234" s="133" t="s">
        <v>129</v>
      </c>
      <c r="I234" s="128" t="s">
        <v>46</v>
      </c>
      <c r="J234" s="128" t="s">
        <v>130</v>
      </c>
      <c r="K234" s="128" t="s">
        <v>408</v>
      </c>
      <c r="L234" s="128" t="s">
        <v>409</v>
      </c>
    </row>
    <row r="235" spans="3:12" x14ac:dyDescent="0.25">
      <c r="C235" s="326" t="s">
        <v>47</v>
      </c>
      <c r="D235" s="660"/>
      <c r="E235" s="327"/>
      <c r="F235" s="115">
        <v>30000</v>
      </c>
      <c r="G235" s="328">
        <f t="shared" ref="G235:G243" si="23">E235*F235</f>
        <v>0</v>
      </c>
      <c r="H235" s="329"/>
      <c r="I235" s="116" t="s">
        <v>697</v>
      </c>
      <c r="J235" s="116" t="str">
        <f>VLOOKUP(I235,Presupuesto!$B$11:$C$566,2,0)</f>
        <v>SERVICIOS DE CAPACITACION.</v>
      </c>
      <c r="K235" s="330" t="s">
        <v>1503</v>
      </c>
      <c r="L235" s="116" t="s">
        <v>392</v>
      </c>
    </row>
    <row r="236" spans="3:12" x14ac:dyDescent="0.25">
      <c r="C236" s="99" t="s">
        <v>48</v>
      </c>
      <c r="D236" s="661"/>
      <c r="E236" s="200">
        <f>D235</f>
        <v>0</v>
      </c>
      <c r="F236" s="100">
        <v>50</v>
      </c>
      <c r="G236" s="97">
        <f t="shared" si="23"/>
        <v>0</v>
      </c>
      <c r="H236" s="161"/>
      <c r="I236" s="98" t="s">
        <v>715</v>
      </c>
      <c r="J236" s="98" t="str">
        <f>VLOOKUP(I236,Presupuesto!$B$11:$C$566,2,0)</f>
        <v>SERVICIOS DE IMPRENTA PUBLIC.Y REPRODUCCION</v>
      </c>
      <c r="K236" s="98" t="str">
        <f>$K$235</f>
        <v>Gestión Tecnologías de Información y Comunicación</v>
      </c>
      <c r="L236" s="98" t="s">
        <v>410</v>
      </c>
    </row>
    <row r="237" spans="3:12" x14ac:dyDescent="0.25">
      <c r="C237" s="99" t="s">
        <v>49</v>
      </c>
      <c r="D237" s="661"/>
      <c r="E237" s="200">
        <f>D235</f>
        <v>0</v>
      </c>
      <c r="F237" s="100">
        <v>150</v>
      </c>
      <c r="G237" s="97">
        <f t="shared" si="23"/>
        <v>0</v>
      </c>
      <c r="H237" s="161"/>
      <c r="I237" s="98" t="s">
        <v>790</v>
      </c>
      <c r="J237" s="98" t="str">
        <f>VLOOKUP(I237,Presupuesto!$B$11:$C$566,2,0)</f>
        <v>ALIMENTOS B EBIDAS PARA PERSONAS</v>
      </c>
      <c r="K237" s="98" t="str">
        <f t="shared" ref="K237:K244" si="24">$K$235</f>
        <v>Gestión Tecnologías de Información y Comunicación</v>
      </c>
      <c r="L237" s="98" t="s">
        <v>394</v>
      </c>
    </row>
    <row r="238" spans="3:12" x14ac:dyDescent="0.25">
      <c r="C238" s="99" t="s">
        <v>50</v>
      </c>
      <c r="D238" s="661"/>
      <c r="E238" s="151">
        <v>0</v>
      </c>
      <c r="F238" s="118">
        <v>10000</v>
      </c>
      <c r="G238" s="97">
        <f t="shared" si="23"/>
        <v>0</v>
      </c>
      <c r="H238" s="161"/>
      <c r="I238" s="321" t="s">
        <v>298</v>
      </c>
      <c r="J238" s="98" t="str">
        <f>VLOOKUP(I238,Presupuesto!$B$11:$C$566,2,0)</f>
        <v>PASAJES (26100-00)</v>
      </c>
      <c r="K238" s="98" t="str">
        <f t="shared" si="24"/>
        <v>Gestión Tecnologías de Información y Comunicación</v>
      </c>
      <c r="L238" s="98" t="s">
        <v>410</v>
      </c>
    </row>
    <row r="239" spans="3:12" x14ac:dyDescent="0.25">
      <c r="C239" s="99" t="s">
        <v>415</v>
      </c>
      <c r="D239" s="661"/>
      <c r="E239" s="151">
        <v>0</v>
      </c>
      <c r="F239" s="118">
        <v>250</v>
      </c>
      <c r="G239" s="97">
        <f t="shared" si="23"/>
        <v>0</v>
      </c>
      <c r="H239" s="161"/>
      <c r="I239" s="98" t="s">
        <v>819</v>
      </c>
      <c r="J239" s="98" t="str">
        <f>VLOOKUP(I239,Presupuesto!$B$11:$C$566,2,0)</f>
        <v>PRODUCTOS PAPEL Y CARTON</v>
      </c>
      <c r="K239" s="98" t="str">
        <f t="shared" si="24"/>
        <v>Gestión Tecnologías de Información y Comunicación</v>
      </c>
      <c r="L239" s="98" t="s">
        <v>410</v>
      </c>
    </row>
    <row r="240" spans="3:12" x14ac:dyDescent="0.25">
      <c r="C240" s="99" t="s">
        <v>51</v>
      </c>
      <c r="D240" s="661"/>
      <c r="E240" s="200">
        <f>(D235*25)/500</f>
        <v>0</v>
      </c>
      <c r="F240" s="100">
        <v>85</v>
      </c>
      <c r="G240" s="97">
        <f t="shared" si="23"/>
        <v>0</v>
      </c>
      <c r="H240" s="161"/>
      <c r="I240" s="98" t="s">
        <v>819</v>
      </c>
      <c r="J240" s="98" t="str">
        <f>VLOOKUP(I240,Presupuesto!$B$11:$C$566,2,0)</f>
        <v>PRODUCTOS PAPEL Y CARTON</v>
      </c>
      <c r="K240" s="98" t="str">
        <f t="shared" si="24"/>
        <v>Gestión Tecnologías de Información y Comunicación</v>
      </c>
      <c r="L240" s="98" t="s">
        <v>410</v>
      </c>
    </row>
    <row r="241" spans="3:12" x14ac:dyDescent="0.25">
      <c r="C241" s="99" t="s">
        <v>121</v>
      </c>
      <c r="D241" s="661"/>
      <c r="E241" s="200">
        <f>D235/12</f>
        <v>0</v>
      </c>
      <c r="F241" s="100">
        <v>36</v>
      </c>
      <c r="G241" s="97">
        <f t="shared" si="23"/>
        <v>0</v>
      </c>
      <c r="H241" s="161"/>
      <c r="I241" s="98" t="s">
        <v>940</v>
      </c>
      <c r="J241" s="98" t="str">
        <f>VLOOKUP(I241,Presupuesto!$B$11:$C$566,2,0)</f>
        <v>UTILES DE ESCRITORIO, OFICINA Y ENSE¥ANZA</v>
      </c>
      <c r="K241" s="98" t="str">
        <f t="shared" si="24"/>
        <v>Gestión Tecnologías de Información y Comunicación</v>
      </c>
      <c r="L241" s="98" t="s">
        <v>410</v>
      </c>
    </row>
    <row r="242" spans="3:12" x14ac:dyDescent="0.25">
      <c r="C242" s="99" t="s">
        <v>34</v>
      </c>
      <c r="D242" s="661"/>
      <c r="E242" s="200">
        <f>D235/12</f>
        <v>0</v>
      </c>
      <c r="F242" s="100">
        <v>80</v>
      </c>
      <c r="G242" s="97">
        <f t="shared" si="23"/>
        <v>0</v>
      </c>
      <c r="H242" s="161"/>
      <c r="I242" s="98" t="s">
        <v>940</v>
      </c>
      <c r="J242" s="98" t="str">
        <f>VLOOKUP(I242,Presupuesto!$B$11:$C$566,2,0)</f>
        <v>UTILES DE ESCRITORIO, OFICINA Y ENSE¥ANZA</v>
      </c>
      <c r="K242" s="98" t="str">
        <f t="shared" si="24"/>
        <v>Gestión Tecnologías de Información y Comunicación</v>
      </c>
      <c r="L242" s="98" t="s">
        <v>410</v>
      </c>
    </row>
    <row r="243" spans="3:12" x14ac:dyDescent="0.25">
      <c r="C243" s="109" t="s">
        <v>52</v>
      </c>
      <c r="D243" s="661"/>
      <c r="E243" s="212">
        <v>0</v>
      </c>
      <c r="F243" s="119">
        <v>25</v>
      </c>
      <c r="G243" s="97">
        <f t="shared" si="23"/>
        <v>0</v>
      </c>
      <c r="H243" s="161"/>
      <c r="I243" s="98" t="s">
        <v>940</v>
      </c>
      <c r="J243" s="98" t="str">
        <f>VLOOKUP(I243,Presupuesto!$B$11:$C$566,2,0)</f>
        <v>UTILES DE ESCRITORIO, OFICINA Y ENSE¥ANZA</v>
      </c>
      <c r="K243" s="98" t="str">
        <f t="shared" si="24"/>
        <v>Gestión Tecnologías de Información y Comunicación</v>
      </c>
      <c r="L243" s="98" t="s">
        <v>410</v>
      </c>
    </row>
    <row r="244" spans="3:12" ht="15.75" thickBot="1" x14ac:dyDescent="0.3">
      <c r="C244" s="216" t="s">
        <v>428</v>
      </c>
      <c r="D244" s="217">
        <v>0</v>
      </c>
      <c r="E244" s="331">
        <v>0</v>
      </c>
      <c r="F244" s="104">
        <f>HLOOKUP(C244,$AH$2:$BU$3,2,0)</f>
        <v>1150</v>
      </c>
      <c r="G244" s="105">
        <f>D244*E244*F244</f>
        <v>0</v>
      </c>
      <c r="H244" s="332"/>
      <c r="I244" s="333" t="s">
        <v>299</v>
      </c>
      <c r="J244" s="106" t="str">
        <f>VLOOKUP(I244,Presupuesto!$B$11:$C$566,2,0)</f>
        <v>VIATICOS (26200-00)</v>
      </c>
      <c r="K244" s="334" t="str">
        <f t="shared" si="24"/>
        <v>Gestión Tecnologías de Información y Comunicación</v>
      </c>
      <c r="L244" s="334" t="s">
        <v>410</v>
      </c>
    </row>
  </sheetData>
  <protectedRanges>
    <protectedRange password="DE9D" sqref="K45 K64 K83 K102 K121 K140 K159 K178 K197 K216 K235 K16:L35 D16:F35 H16:I35" name="bloqueo"/>
  </protectedRanges>
  <mergeCells count="12">
    <mergeCell ref="D17:D25"/>
    <mergeCell ref="D45:D53"/>
    <mergeCell ref="D64:D72"/>
    <mergeCell ref="D83:D91"/>
    <mergeCell ref="D102:D110"/>
    <mergeCell ref="D216:D224"/>
    <mergeCell ref="D235:D243"/>
    <mergeCell ref="D121:D129"/>
    <mergeCell ref="D140:D148"/>
    <mergeCell ref="D159:D167"/>
    <mergeCell ref="D178:D186"/>
    <mergeCell ref="D197:D205"/>
  </mergeCells>
  <dataValidations xWindow="1166" yWindow="521" count="8">
    <dataValidation type="list" allowBlank="1" showInputMessage="1" showErrorMessage="1" sqref="C244 C54 C73 C92 C111 C130 C149 C168 C187 C206 C225 C34">
      <formula1>$AH$2:$BU$2</formula1>
    </dataValidation>
    <dataValidation type="list" allowBlank="1" showInputMessage="1" showErrorMessage="1" errorTitle="¡Ingreso Inválido!" error="Seleccione una opción de la lista" promptTitle="Mes Requerido" prompt="Seleccione el mes en el que requiere el recurso." sqref="L235:L244 L45:L54 L64:L73 L83:L92 L102:L111 L121:L130 L140:L149 L159:L168 L178:L187 L197:L206 L216:L225 L17:L35">
      <formula1>$U$2:$AF$2</formula1>
    </dataValidation>
    <dataValidation type="list" allowBlank="1" showInputMessage="1" showErrorMessage="1" errorTitle="¡Ingreso no valido!" error="Favor ingrese un elemento de la lista." promptTitle="Tipo de Presupuesto" prompt="Seleccione una opción de la lista." sqref="H235:H244 H45:H54 H64:H73 H83:H92 H102:H111 H121:H130 H140:H149 H159:H168 H178:H187 H197:H206 H216:H225 H17:H35">
      <formula1>$S$2:$T$2</formula1>
    </dataValidation>
    <dataValidation type="list" allowBlank="1" showInputMessage="1" showErrorMessage="1" errorTitle="¡Ingreso Inválido!" error="Verifique el valor ingresado._x000a_" sqref="I235:I244 I45:I54 I64:I73 I83:I92 I102:I111 I121:I130 I140:I149 I159:I168 I178:I187 I197:I206 I216:I225 I17:I25 I27:I35">
      <formula1>$A$1:$UI$1</formula1>
    </dataValidation>
    <dataValidation type="list" allowBlank="1" showInputMessage="1" showErrorMessage="1" sqref="K236:K244 K46:K54 K65:K73 K84:K92 K103:K111 K122:K130 K141:K149 K160:K168 K179:K187 K198:K206 K217:K225">
      <formula1>$A$2:$P$2</formula1>
    </dataValidation>
    <dataValidation type="list" allowBlank="1" showInputMessage="1" showErrorMessage="1" errorTitle="¡Ingreso Inválido!" error="Seleccione una opción de la lista." promptTitle="Dimensión Estratégica" prompt="Seleccione una opción de la lista." sqref="K17:K35 K45 K64 K83 K102 K121 K140 K159 K178 K197 K216 K235">
      <formula1>$A$2:$Q$2</formula1>
    </dataValidation>
    <dataValidation type="list" allowBlank="1" showInputMessage="1" showErrorMessage="1" errorTitle="¡Ingreso Invalido!" error="Seleccione una opción de la lista." promptTitle="Categoria/Zona de Viáticos" prompt="Seleccione una opción de la lista" sqref="C35 C28:C33">
      <formula1>$AH$2:$BU$2</formula1>
    </dataValidation>
    <dataValidation type="list" allowBlank="1" showInputMessage="1" showErrorMessage="1" errorTitle="¡Ingreso Inválido!" error="Verifique el valor ingresado." promptTitle="Ingrese el Objeto de Gasto" prompt="Ingrese el Objeto de Gasto" sqref="I26">
      <formula1>$A$1:$UI$1</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8"/>
  <sheetViews>
    <sheetView showGridLines="0" topLeftCell="G10" workbookViewId="0">
      <selection activeCell="J27" sqref="J27"/>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27.5703125" style="77" customWidth="1"/>
    <col min="8" max="8" width="16.42578125" style="86" customWidth="1"/>
    <col min="9" max="9" width="58.42578125" style="86" customWidth="1"/>
    <col min="10" max="10" width="34.140625" style="86" customWidth="1"/>
    <col min="11" max="11" width="11.5703125" style="86"/>
    <col min="12" max="12" width="15" style="86" customWidth="1"/>
    <col min="13" max="16384" width="11.5703125" style="86"/>
  </cols>
  <sheetData>
    <row r="1" spans="1:555" ht="26.25" hidden="1" x14ac:dyDescent="0.25">
      <c r="A1" s="187" t="s">
        <v>249</v>
      </c>
      <c r="B1" s="190" t="s">
        <v>250</v>
      </c>
      <c r="C1" s="181" t="s">
        <v>251</v>
      </c>
      <c r="D1" s="181" t="s">
        <v>494</v>
      </c>
      <c r="E1" s="181" t="s">
        <v>496</v>
      </c>
      <c r="F1" s="181" t="s">
        <v>498</v>
      </c>
      <c r="G1" s="181" t="s">
        <v>500</v>
      </c>
      <c r="H1" s="181" t="s">
        <v>502</v>
      </c>
      <c r="I1" s="181" t="s">
        <v>504</v>
      </c>
      <c r="J1" s="181" t="s">
        <v>252</v>
      </c>
      <c r="K1" s="181" t="s">
        <v>507</v>
      </c>
      <c r="L1" s="181" t="s">
        <v>253</v>
      </c>
      <c r="M1" s="181" t="s">
        <v>509</v>
      </c>
      <c r="N1" s="181" t="s">
        <v>511</v>
      </c>
      <c r="O1" s="181" t="s">
        <v>513</v>
      </c>
      <c r="P1" s="181" t="s">
        <v>254</v>
      </c>
      <c r="Q1" s="181" t="s">
        <v>514</v>
      </c>
      <c r="R1" s="181" t="s">
        <v>517</v>
      </c>
      <c r="S1" s="181" t="s">
        <v>255</v>
      </c>
      <c r="T1" s="181" t="s">
        <v>519</v>
      </c>
      <c r="U1" s="181" t="s">
        <v>256</v>
      </c>
      <c r="V1" s="181" t="s">
        <v>520</v>
      </c>
      <c r="W1" s="181" t="s">
        <v>521</v>
      </c>
      <c r="X1" s="181" t="s">
        <v>525</v>
      </c>
      <c r="Y1" s="181" t="s">
        <v>272</v>
      </c>
      <c r="Z1" s="181" t="s">
        <v>526</v>
      </c>
      <c r="AA1" s="181" t="s">
        <v>528</v>
      </c>
      <c r="AB1" s="181" t="s">
        <v>530</v>
      </c>
      <c r="AC1" s="181" t="s">
        <v>273</v>
      </c>
      <c r="AD1" s="181" t="s">
        <v>532</v>
      </c>
      <c r="AE1" s="181" t="s">
        <v>534</v>
      </c>
      <c r="AF1" s="181" t="s">
        <v>536</v>
      </c>
      <c r="AG1" s="181" t="s">
        <v>538</v>
      </c>
      <c r="AH1" s="181" t="s">
        <v>248</v>
      </c>
      <c r="AI1" s="181" t="s">
        <v>540</v>
      </c>
      <c r="AJ1" s="190" t="s">
        <v>257</v>
      </c>
      <c r="AK1" s="181" t="s">
        <v>542</v>
      </c>
      <c r="AL1" s="181" t="s">
        <v>258</v>
      </c>
      <c r="AM1" s="181" t="s">
        <v>544</v>
      </c>
      <c r="AN1" s="181" t="s">
        <v>546</v>
      </c>
      <c r="AO1" s="181" t="s">
        <v>259</v>
      </c>
      <c r="AP1" s="181" t="s">
        <v>548</v>
      </c>
      <c r="AQ1" s="181" t="s">
        <v>550</v>
      </c>
      <c r="AR1" s="181" t="s">
        <v>260</v>
      </c>
      <c r="AS1" s="181" t="s">
        <v>551</v>
      </c>
      <c r="AT1" s="181" t="s">
        <v>553</v>
      </c>
      <c r="AU1" s="181" t="s">
        <v>554</v>
      </c>
      <c r="AV1" s="181" t="s">
        <v>555</v>
      </c>
      <c r="AW1" s="181" t="s">
        <v>557</v>
      </c>
      <c r="AX1" s="181" t="s">
        <v>559</v>
      </c>
      <c r="AY1" s="181" t="s">
        <v>560</v>
      </c>
      <c r="AZ1" s="181" t="s">
        <v>261</v>
      </c>
      <c r="BA1" s="181" t="s">
        <v>562</v>
      </c>
      <c r="BB1" s="181" t="s">
        <v>564</v>
      </c>
      <c r="BC1" s="181" t="s">
        <v>566</v>
      </c>
      <c r="BD1" s="181" t="s">
        <v>568</v>
      </c>
      <c r="BE1" s="181" t="s">
        <v>570</v>
      </c>
      <c r="BF1" s="181" t="s">
        <v>572</v>
      </c>
      <c r="BG1" s="181" t="s">
        <v>574</v>
      </c>
      <c r="BH1" s="181" t="s">
        <v>576</v>
      </c>
      <c r="BI1" s="181" t="s">
        <v>274</v>
      </c>
      <c r="BJ1" s="181" t="s">
        <v>578</v>
      </c>
      <c r="BK1" s="181" t="s">
        <v>580</v>
      </c>
      <c r="BL1" s="181" t="s">
        <v>582</v>
      </c>
      <c r="BM1" s="181" t="s">
        <v>584</v>
      </c>
      <c r="BN1" s="181" t="s">
        <v>586</v>
      </c>
      <c r="BO1" s="181" t="s">
        <v>588</v>
      </c>
      <c r="BP1" s="181" t="s">
        <v>590</v>
      </c>
      <c r="BQ1" s="181" t="s">
        <v>592</v>
      </c>
      <c r="BR1" s="181" t="s">
        <v>594</v>
      </c>
      <c r="BS1" s="181" t="s">
        <v>596</v>
      </c>
      <c r="BT1" s="190" t="s">
        <v>262</v>
      </c>
      <c r="BU1" s="181" t="s">
        <v>263</v>
      </c>
      <c r="BV1" s="181" t="s">
        <v>598</v>
      </c>
      <c r="BW1" s="181" t="s">
        <v>264</v>
      </c>
      <c r="BX1" s="181" t="s">
        <v>600</v>
      </c>
      <c r="BY1" s="181" t="s">
        <v>602</v>
      </c>
      <c r="BZ1" s="190" t="s">
        <v>265</v>
      </c>
      <c r="CA1" s="181" t="s">
        <v>266</v>
      </c>
      <c r="CB1" s="181" t="s">
        <v>604</v>
      </c>
      <c r="CC1" s="181" t="s">
        <v>267</v>
      </c>
      <c r="CD1" s="181" t="s">
        <v>606</v>
      </c>
      <c r="CE1" s="181" t="s">
        <v>608</v>
      </c>
      <c r="CF1" s="181" t="s">
        <v>610</v>
      </c>
      <c r="CG1" s="190" t="s">
        <v>268</v>
      </c>
      <c r="CH1" s="181" t="s">
        <v>616</v>
      </c>
      <c r="CI1" s="181" t="s">
        <v>618</v>
      </c>
      <c r="CJ1" s="181" t="s">
        <v>269</v>
      </c>
      <c r="CK1" s="181" t="s">
        <v>612</v>
      </c>
      <c r="CL1" s="181" t="s">
        <v>614</v>
      </c>
      <c r="CM1" s="181" t="s">
        <v>270</v>
      </c>
      <c r="CN1" s="181" t="s">
        <v>620</v>
      </c>
      <c r="CO1" s="181" t="s">
        <v>271</v>
      </c>
      <c r="CP1" s="181" t="s">
        <v>621</v>
      </c>
      <c r="CQ1" s="178" t="s">
        <v>275</v>
      </c>
      <c r="CR1" s="190" t="s">
        <v>276</v>
      </c>
      <c r="CS1" s="181" t="s">
        <v>622</v>
      </c>
      <c r="CT1" s="181" t="s">
        <v>623</v>
      </c>
      <c r="CU1" s="181" t="s">
        <v>625</v>
      </c>
      <c r="CV1" s="181" t="s">
        <v>277</v>
      </c>
      <c r="CW1" s="181" t="s">
        <v>627</v>
      </c>
      <c r="CX1" s="181" t="s">
        <v>629</v>
      </c>
      <c r="CY1" s="181" t="s">
        <v>631</v>
      </c>
      <c r="CZ1" s="181" t="s">
        <v>633</v>
      </c>
      <c r="DA1" s="181" t="s">
        <v>635</v>
      </c>
      <c r="DB1" s="181" t="s">
        <v>637</v>
      </c>
      <c r="DC1" s="190" t="s">
        <v>278</v>
      </c>
      <c r="DD1" s="181" t="s">
        <v>279</v>
      </c>
      <c r="DE1" s="181" t="s">
        <v>639</v>
      </c>
      <c r="DF1" s="181" t="s">
        <v>280</v>
      </c>
      <c r="DG1" s="181" t="s">
        <v>641</v>
      </c>
      <c r="DH1" s="181" t="s">
        <v>643</v>
      </c>
      <c r="DI1" s="181" t="s">
        <v>645</v>
      </c>
      <c r="DJ1" s="181" t="s">
        <v>647</v>
      </c>
      <c r="DK1" s="181" t="s">
        <v>649</v>
      </c>
      <c r="DL1" s="181" t="s">
        <v>651</v>
      </c>
      <c r="DM1" s="181" t="s">
        <v>653</v>
      </c>
      <c r="DN1" s="181" t="s">
        <v>281</v>
      </c>
      <c r="DO1" s="181" t="s">
        <v>655</v>
      </c>
      <c r="DP1" s="181" t="s">
        <v>657</v>
      </c>
      <c r="DQ1" s="181" t="s">
        <v>659</v>
      </c>
      <c r="DR1" s="190" t="s">
        <v>282</v>
      </c>
      <c r="DS1" s="181" t="s">
        <v>661</v>
      </c>
      <c r="DT1" s="181" t="s">
        <v>283</v>
      </c>
      <c r="DU1" s="181" t="s">
        <v>663</v>
      </c>
      <c r="DV1" s="181" t="s">
        <v>284</v>
      </c>
      <c r="DW1" s="181" t="s">
        <v>665</v>
      </c>
      <c r="DX1" s="181" t="s">
        <v>667</v>
      </c>
      <c r="DY1" s="181" t="s">
        <v>669</v>
      </c>
      <c r="DZ1" s="181" t="s">
        <v>671</v>
      </c>
      <c r="EA1" s="181" t="s">
        <v>673</v>
      </c>
      <c r="EB1" s="181" t="s">
        <v>675</v>
      </c>
      <c r="EC1" s="181" t="s">
        <v>677</v>
      </c>
      <c r="ED1" s="181" t="s">
        <v>679</v>
      </c>
      <c r="EE1" s="181" t="s">
        <v>681</v>
      </c>
      <c r="EF1" s="181" t="s">
        <v>683</v>
      </c>
      <c r="EG1" s="181" t="s">
        <v>685</v>
      </c>
      <c r="EH1" s="190" t="s">
        <v>285</v>
      </c>
      <c r="EI1" s="181" t="s">
        <v>687</v>
      </c>
      <c r="EJ1" s="181" t="s">
        <v>286</v>
      </c>
      <c r="EK1" s="181" t="s">
        <v>689</v>
      </c>
      <c r="EL1" s="181" t="s">
        <v>691</v>
      </c>
      <c r="EM1" s="181" t="s">
        <v>287</v>
      </c>
      <c r="EN1" s="181" t="s">
        <v>693</v>
      </c>
      <c r="EO1" s="181" t="s">
        <v>695</v>
      </c>
      <c r="EP1" s="181" t="s">
        <v>288</v>
      </c>
      <c r="EQ1" s="181" t="s">
        <v>697</v>
      </c>
      <c r="ER1" s="181" t="s">
        <v>699</v>
      </c>
      <c r="ES1" s="181" t="s">
        <v>701</v>
      </c>
      <c r="ET1" s="181" t="s">
        <v>289</v>
      </c>
      <c r="EU1" s="181" t="s">
        <v>703</v>
      </c>
      <c r="EV1" s="181" t="s">
        <v>705</v>
      </c>
      <c r="EW1" s="190" t="s">
        <v>290</v>
      </c>
      <c r="EX1" s="181" t="s">
        <v>291</v>
      </c>
      <c r="EY1" s="181" t="s">
        <v>707</v>
      </c>
      <c r="EZ1" s="181" t="s">
        <v>709</v>
      </c>
      <c r="FA1" s="181" t="s">
        <v>711</v>
      </c>
      <c r="FB1" s="181" t="s">
        <v>713</v>
      </c>
      <c r="FC1" s="181" t="s">
        <v>292</v>
      </c>
      <c r="FD1" s="181" t="s">
        <v>715</v>
      </c>
      <c r="FE1" s="181" t="s">
        <v>717</v>
      </c>
      <c r="FF1" s="181" t="s">
        <v>719</v>
      </c>
      <c r="FG1" s="181" t="s">
        <v>721</v>
      </c>
      <c r="FH1" s="181" t="s">
        <v>723</v>
      </c>
      <c r="FI1" s="181" t="s">
        <v>293</v>
      </c>
      <c r="FJ1" s="181" t="s">
        <v>726</v>
      </c>
      <c r="FK1" s="181" t="s">
        <v>294</v>
      </c>
      <c r="FL1" s="181" t="s">
        <v>729</v>
      </c>
      <c r="FM1" s="181" t="s">
        <v>730</v>
      </c>
      <c r="FN1" s="181" t="s">
        <v>732</v>
      </c>
      <c r="FO1" s="181" t="s">
        <v>295</v>
      </c>
      <c r="FP1" s="181" t="s">
        <v>735</v>
      </c>
      <c r="FQ1" s="181" t="s">
        <v>736</v>
      </c>
      <c r="FR1" s="181" t="s">
        <v>738</v>
      </c>
      <c r="FS1" s="181" t="s">
        <v>296</v>
      </c>
      <c r="FT1" s="181" t="s">
        <v>741</v>
      </c>
      <c r="FU1" s="181" t="s">
        <v>743</v>
      </c>
      <c r="FV1" s="181" t="s">
        <v>745</v>
      </c>
      <c r="FW1" s="190" t="s">
        <v>297</v>
      </c>
      <c r="FX1" s="190" t="s">
        <v>298</v>
      </c>
      <c r="FY1" s="181" t="s">
        <v>304</v>
      </c>
      <c r="FZ1" s="181" t="s">
        <v>747</v>
      </c>
      <c r="GA1" s="181" t="s">
        <v>749</v>
      </c>
      <c r="GB1" s="181" t="s">
        <v>751</v>
      </c>
      <c r="GC1" s="181" t="s">
        <v>753</v>
      </c>
      <c r="GD1" s="181" t="s">
        <v>755</v>
      </c>
      <c r="GE1" s="181" t="s">
        <v>757</v>
      </c>
      <c r="GF1" s="190" t="s">
        <v>299</v>
      </c>
      <c r="GG1" s="181" t="s">
        <v>305</v>
      </c>
      <c r="GH1" s="181" t="s">
        <v>759</v>
      </c>
      <c r="GI1" s="181" t="s">
        <v>761</v>
      </c>
      <c r="GJ1" s="181" t="s">
        <v>762</v>
      </c>
      <c r="GK1" s="181" t="s">
        <v>306</v>
      </c>
      <c r="GL1" s="181" t="s">
        <v>765</v>
      </c>
      <c r="GM1" s="181" t="s">
        <v>766</v>
      </c>
      <c r="GN1" s="190" t="s">
        <v>300</v>
      </c>
      <c r="GO1" s="181" t="s">
        <v>301</v>
      </c>
      <c r="GP1" s="181" t="s">
        <v>768</v>
      </c>
      <c r="GQ1" s="181" t="s">
        <v>770</v>
      </c>
      <c r="GR1" s="181" t="s">
        <v>772</v>
      </c>
      <c r="GS1" s="181" t="s">
        <v>774</v>
      </c>
      <c r="GT1" s="181" t="s">
        <v>776</v>
      </c>
      <c r="GU1" s="190" t="s">
        <v>302</v>
      </c>
      <c r="GV1" s="181" t="s">
        <v>303</v>
      </c>
      <c r="GW1" s="181" t="s">
        <v>778</v>
      </c>
      <c r="GX1" s="181" t="s">
        <v>780</v>
      </c>
      <c r="GY1" s="181" t="s">
        <v>782</v>
      </c>
      <c r="GZ1" s="181" t="s">
        <v>784</v>
      </c>
      <c r="HA1" s="181" t="s">
        <v>786</v>
      </c>
      <c r="HB1" s="181" t="s">
        <v>788</v>
      </c>
      <c r="HC1" s="178" t="s">
        <v>307</v>
      </c>
      <c r="HD1" s="190" t="s">
        <v>308</v>
      </c>
      <c r="HE1" s="181" t="s">
        <v>309</v>
      </c>
      <c r="HF1" s="181" t="s">
        <v>790</v>
      </c>
      <c r="HG1" s="181" t="s">
        <v>792</v>
      </c>
      <c r="HH1" s="181" t="s">
        <v>794</v>
      </c>
      <c r="HI1" s="181" t="s">
        <v>796</v>
      </c>
      <c r="HJ1" s="181" t="s">
        <v>310</v>
      </c>
      <c r="HK1" s="181" t="s">
        <v>799</v>
      </c>
      <c r="HL1" s="181" t="s">
        <v>327</v>
      </c>
      <c r="HM1" s="181" t="s">
        <v>837</v>
      </c>
      <c r="HN1" s="181" t="s">
        <v>839</v>
      </c>
      <c r="HO1" s="181" t="s">
        <v>841</v>
      </c>
      <c r="HP1" s="190" t="s">
        <v>311</v>
      </c>
      <c r="HQ1" s="181" t="s">
        <v>801</v>
      </c>
      <c r="HR1" s="181" t="s">
        <v>803</v>
      </c>
      <c r="HS1" s="181" t="s">
        <v>312</v>
      </c>
      <c r="HT1" s="181" t="s">
        <v>806</v>
      </c>
      <c r="HU1" s="181" t="s">
        <v>808</v>
      </c>
      <c r="HV1" s="181" t="s">
        <v>809</v>
      </c>
      <c r="HW1" s="181" t="s">
        <v>811</v>
      </c>
      <c r="HX1" s="190" t="s">
        <v>313</v>
      </c>
      <c r="HY1" s="181" t="s">
        <v>813</v>
      </c>
      <c r="HZ1" s="181" t="s">
        <v>815</v>
      </c>
      <c r="IA1" s="181" t="s">
        <v>817</v>
      </c>
      <c r="IB1" s="181" t="s">
        <v>314</v>
      </c>
      <c r="IC1" s="181" t="s">
        <v>819</v>
      </c>
      <c r="ID1" s="181" t="s">
        <v>821</v>
      </c>
      <c r="IE1" s="181" t="s">
        <v>315</v>
      </c>
      <c r="IF1" s="181" t="s">
        <v>823</v>
      </c>
      <c r="IG1" s="181" t="s">
        <v>825</v>
      </c>
      <c r="IH1" s="181" t="s">
        <v>316</v>
      </c>
      <c r="II1" s="181" t="s">
        <v>827</v>
      </c>
      <c r="IJ1" s="181" t="s">
        <v>829</v>
      </c>
      <c r="IK1" s="181" t="s">
        <v>831</v>
      </c>
      <c r="IL1" s="181" t="s">
        <v>833</v>
      </c>
      <c r="IM1" s="181" t="s">
        <v>317</v>
      </c>
      <c r="IN1" s="181" t="s">
        <v>835</v>
      </c>
      <c r="IO1" s="190" t="s">
        <v>318</v>
      </c>
      <c r="IP1" s="181" t="s">
        <v>843</v>
      </c>
      <c r="IQ1" s="181" t="s">
        <v>845</v>
      </c>
      <c r="IR1" s="181" t="s">
        <v>319</v>
      </c>
      <c r="IS1" s="181" t="s">
        <v>847</v>
      </c>
      <c r="IT1" s="181" t="s">
        <v>849</v>
      </c>
      <c r="IU1" s="181" t="s">
        <v>851</v>
      </c>
      <c r="IV1" s="190" t="s">
        <v>320</v>
      </c>
      <c r="IW1" s="181" t="s">
        <v>853</v>
      </c>
      <c r="IX1" s="181" t="s">
        <v>321</v>
      </c>
      <c r="IY1" s="181" t="s">
        <v>856</v>
      </c>
      <c r="IZ1" s="181" t="s">
        <v>858</v>
      </c>
      <c r="JA1" s="181" t="s">
        <v>860</v>
      </c>
      <c r="JB1" s="181" t="s">
        <v>862</v>
      </c>
      <c r="JC1" s="181" t="s">
        <v>864</v>
      </c>
      <c r="JD1" s="181" t="s">
        <v>866</v>
      </c>
      <c r="JE1" s="181" t="s">
        <v>322</v>
      </c>
      <c r="JF1" s="181" t="s">
        <v>869</v>
      </c>
      <c r="JG1" s="181" t="s">
        <v>871</v>
      </c>
      <c r="JH1" s="181" t="s">
        <v>873</v>
      </c>
      <c r="JI1" s="181" t="s">
        <v>875</v>
      </c>
      <c r="JJ1" s="181" t="s">
        <v>877</v>
      </c>
      <c r="JK1" s="181" t="s">
        <v>879</v>
      </c>
      <c r="JL1" s="181" t="s">
        <v>881</v>
      </c>
      <c r="JM1" s="181" t="s">
        <v>883</v>
      </c>
      <c r="JN1" s="181" t="s">
        <v>323</v>
      </c>
      <c r="JO1" s="181" t="s">
        <v>886</v>
      </c>
      <c r="JP1" s="181" t="s">
        <v>888</v>
      </c>
      <c r="JQ1" s="181" t="s">
        <v>890</v>
      </c>
      <c r="JR1" s="181" t="s">
        <v>892</v>
      </c>
      <c r="JS1" s="181" t="s">
        <v>893</v>
      </c>
      <c r="JT1" s="181" t="s">
        <v>895</v>
      </c>
      <c r="JU1" s="181" t="s">
        <v>897</v>
      </c>
      <c r="JV1" s="181" t="s">
        <v>899</v>
      </c>
      <c r="JW1" s="181" t="s">
        <v>901</v>
      </c>
      <c r="JX1" s="181" t="s">
        <v>903</v>
      </c>
      <c r="JY1" s="181" t="s">
        <v>905</v>
      </c>
      <c r="JZ1" s="181" t="s">
        <v>907</v>
      </c>
      <c r="KA1" s="181" t="s">
        <v>909</v>
      </c>
      <c r="KB1" s="181" t="s">
        <v>911</v>
      </c>
      <c r="KC1" s="181" t="s">
        <v>913</v>
      </c>
      <c r="KD1" s="181" t="s">
        <v>915</v>
      </c>
      <c r="KE1" s="181" t="s">
        <v>917</v>
      </c>
      <c r="KF1" s="181" t="s">
        <v>919</v>
      </c>
      <c r="KG1" s="181" t="s">
        <v>921</v>
      </c>
      <c r="KH1" s="181" t="s">
        <v>923</v>
      </c>
      <c r="KI1" s="181" t="s">
        <v>925</v>
      </c>
      <c r="KJ1" s="181" t="s">
        <v>927</v>
      </c>
      <c r="KK1" s="181" t="s">
        <v>929</v>
      </c>
      <c r="KL1" s="181" t="s">
        <v>931</v>
      </c>
      <c r="KM1" s="181" t="s">
        <v>933</v>
      </c>
      <c r="KN1" s="181" t="s">
        <v>935</v>
      </c>
      <c r="KO1" s="190" t="s">
        <v>324</v>
      </c>
      <c r="KP1" s="181" t="s">
        <v>937</v>
      </c>
      <c r="KQ1" s="181" t="s">
        <v>325</v>
      </c>
      <c r="KR1" s="181" t="s">
        <v>940</v>
      </c>
      <c r="KS1" s="181" t="s">
        <v>942</v>
      </c>
      <c r="KT1" s="181" t="s">
        <v>944</v>
      </c>
      <c r="KU1" s="181" t="s">
        <v>946</v>
      </c>
      <c r="KV1" s="181" t="s">
        <v>326</v>
      </c>
      <c r="KW1" s="181" t="s">
        <v>949</v>
      </c>
      <c r="KX1" s="181" t="s">
        <v>951</v>
      </c>
      <c r="KY1" s="181" t="s">
        <v>953</v>
      </c>
      <c r="KZ1" s="181" t="s">
        <v>955</v>
      </c>
      <c r="LA1" s="181" t="s">
        <v>957</v>
      </c>
      <c r="LB1" s="181" t="s">
        <v>959</v>
      </c>
      <c r="LC1" s="181" t="s">
        <v>961</v>
      </c>
      <c r="LD1" s="178" t="s">
        <v>328</v>
      </c>
      <c r="LE1" s="190" t="s">
        <v>329</v>
      </c>
      <c r="LF1" s="181" t="s">
        <v>330</v>
      </c>
      <c r="LG1" s="181" t="s">
        <v>344</v>
      </c>
      <c r="LH1" s="181" t="s">
        <v>963</v>
      </c>
      <c r="LI1" s="181" t="s">
        <v>965</v>
      </c>
      <c r="LJ1" s="181" t="s">
        <v>967</v>
      </c>
      <c r="LK1" s="181" t="s">
        <v>969</v>
      </c>
      <c r="LL1" s="181" t="s">
        <v>345</v>
      </c>
      <c r="LM1" s="181" t="s">
        <v>971</v>
      </c>
      <c r="LN1" s="181" t="s">
        <v>346</v>
      </c>
      <c r="LO1" s="181" t="s">
        <v>973</v>
      </c>
      <c r="LP1" s="181" t="s">
        <v>331</v>
      </c>
      <c r="LQ1" s="181" t="s">
        <v>975</v>
      </c>
      <c r="LR1" s="181" t="s">
        <v>347</v>
      </c>
      <c r="LS1" s="181" t="s">
        <v>977</v>
      </c>
      <c r="LT1" s="181" t="s">
        <v>979</v>
      </c>
      <c r="LU1" s="181" t="s">
        <v>348</v>
      </c>
      <c r="LV1" s="190" t="s">
        <v>332</v>
      </c>
      <c r="LW1" s="181" t="s">
        <v>333</v>
      </c>
      <c r="LX1" s="181" t="s">
        <v>981</v>
      </c>
      <c r="LY1" s="181" t="s">
        <v>983</v>
      </c>
      <c r="LZ1" s="181" t="s">
        <v>984</v>
      </c>
      <c r="MA1" s="181" t="s">
        <v>986</v>
      </c>
      <c r="MB1" s="181" t="s">
        <v>987</v>
      </c>
      <c r="MC1" s="181" t="s">
        <v>989</v>
      </c>
      <c r="MD1" s="181" t="s">
        <v>991</v>
      </c>
      <c r="ME1" s="181" t="s">
        <v>993</v>
      </c>
      <c r="MF1" s="181" t="s">
        <v>995</v>
      </c>
      <c r="MG1" s="181" t="s">
        <v>334</v>
      </c>
      <c r="MH1" s="181" t="s">
        <v>998</v>
      </c>
      <c r="MI1" s="181" t="s">
        <v>999</v>
      </c>
      <c r="MJ1" s="181" t="s">
        <v>1001</v>
      </c>
      <c r="MK1" s="181" t="s">
        <v>335</v>
      </c>
      <c r="ML1" s="181" t="s">
        <v>1004</v>
      </c>
      <c r="MM1" s="181" t="s">
        <v>1005</v>
      </c>
      <c r="MN1" s="181" t="s">
        <v>1007</v>
      </c>
      <c r="MO1" s="181" t="s">
        <v>1009</v>
      </c>
      <c r="MP1" s="181" t="s">
        <v>336</v>
      </c>
      <c r="MQ1" s="181" t="s">
        <v>1012</v>
      </c>
      <c r="MR1" s="181" t="s">
        <v>1014</v>
      </c>
      <c r="MS1" s="181" t="s">
        <v>1016</v>
      </c>
      <c r="MT1" s="181" t="s">
        <v>1018</v>
      </c>
      <c r="MU1" s="181" t="s">
        <v>337</v>
      </c>
      <c r="MV1" s="181" t="s">
        <v>1021</v>
      </c>
      <c r="MW1" s="181" t="s">
        <v>1023</v>
      </c>
      <c r="MX1" s="181" t="s">
        <v>1025</v>
      </c>
      <c r="MY1" s="181" t="s">
        <v>1027</v>
      </c>
      <c r="MZ1" s="181" t="s">
        <v>1029</v>
      </c>
      <c r="NA1" s="181" t="s">
        <v>1031</v>
      </c>
      <c r="NB1" s="181" t="s">
        <v>1033</v>
      </c>
      <c r="NC1" s="181" t="s">
        <v>1035</v>
      </c>
      <c r="ND1" s="181" t="s">
        <v>1037</v>
      </c>
      <c r="NE1" s="181" t="s">
        <v>1039</v>
      </c>
      <c r="NF1" s="181" t="s">
        <v>1041</v>
      </c>
      <c r="NG1" s="181" t="s">
        <v>1042</v>
      </c>
      <c r="NH1" s="190" t="s">
        <v>338</v>
      </c>
      <c r="NI1" s="181" t="s">
        <v>339</v>
      </c>
      <c r="NJ1" s="181" t="s">
        <v>1044</v>
      </c>
      <c r="NK1" s="181" t="s">
        <v>1046</v>
      </c>
      <c r="NL1" s="181" t="s">
        <v>1048</v>
      </c>
      <c r="NM1" s="181" t="s">
        <v>1050</v>
      </c>
      <c r="NN1" s="190" t="s">
        <v>340</v>
      </c>
      <c r="NO1" s="181" t="s">
        <v>341</v>
      </c>
      <c r="NP1" s="181" t="s">
        <v>1051</v>
      </c>
      <c r="NQ1" s="181" t="s">
        <v>342</v>
      </c>
      <c r="NR1" s="181" t="s">
        <v>1053</v>
      </c>
      <c r="NS1" s="181" t="s">
        <v>1055</v>
      </c>
      <c r="NT1" s="181" t="s">
        <v>343</v>
      </c>
      <c r="NU1" s="181" t="s">
        <v>1057</v>
      </c>
      <c r="NV1" s="178" t="s">
        <v>349</v>
      </c>
      <c r="NW1" s="190" t="s">
        <v>350</v>
      </c>
      <c r="NX1" s="181" t="s">
        <v>351</v>
      </c>
      <c r="NY1" s="181" t="s">
        <v>1060</v>
      </c>
      <c r="NZ1" s="181" t="s">
        <v>1062</v>
      </c>
      <c r="OA1" s="181" t="s">
        <v>352</v>
      </c>
      <c r="OB1" s="181" t="s">
        <v>362</v>
      </c>
      <c r="OC1" s="181" t="s">
        <v>1064</v>
      </c>
      <c r="OD1" s="181" t="s">
        <v>1066</v>
      </c>
      <c r="OE1" s="181" t="s">
        <v>1068</v>
      </c>
      <c r="OF1" s="181" t="s">
        <v>1070</v>
      </c>
      <c r="OG1" s="181" t="s">
        <v>1072</v>
      </c>
      <c r="OH1" s="181" t="s">
        <v>1074</v>
      </c>
      <c r="OI1" s="181" t="s">
        <v>1076</v>
      </c>
      <c r="OJ1" s="181" t="s">
        <v>1078</v>
      </c>
      <c r="OK1" s="181" t="s">
        <v>1080</v>
      </c>
      <c r="OL1" s="181" t="s">
        <v>1082</v>
      </c>
      <c r="OM1" s="181" t="s">
        <v>1084</v>
      </c>
      <c r="ON1" s="181" t="s">
        <v>1086</v>
      </c>
      <c r="OO1" s="181" t="s">
        <v>1088</v>
      </c>
      <c r="OP1" s="181" t="s">
        <v>1090</v>
      </c>
      <c r="OQ1" s="181" t="s">
        <v>1092</v>
      </c>
      <c r="OR1" s="181" t="s">
        <v>1094</v>
      </c>
      <c r="OS1" s="181" t="s">
        <v>1096</v>
      </c>
      <c r="OT1" s="181" t="s">
        <v>1098</v>
      </c>
      <c r="OU1" s="181" t="s">
        <v>1100</v>
      </c>
      <c r="OV1" s="181" t="s">
        <v>1102</v>
      </c>
      <c r="OW1" s="181" t="s">
        <v>1104</v>
      </c>
      <c r="OX1" s="181" t="s">
        <v>1106</v>
      </c>
      <c r="OY1" s="181" t="s">
        <v>363</v>
      </c>
      <c r="OZ1" s="181" t="s">
        <v>1109</v>
      </c>
      <c r="PA1" s="181" t="s">
        <v>1111</v>
      </c>
      <c r="PB1" s="181" t="s">
        <v>1112</v>
      </c>
      <c r="PC1" s="181" t="s">
        <v>1114</v>
      </c>
      <c r="PD1" s="181" t="s">
        <v>1116</v>
      </c>
      <c r="PE1" s="181" t="s">
        <v>1118</v>
      </c>
      <c r="PF1" s="181" t="s">
        <v>1120</v>
      </c>
      <c r="PG1" s="181" t="s">
        <v>1122</v>
      </c>
      <c r="PH1" s="181" t="s">
        <v>1124</v>
      </c>
      <c r="PI1" s="181" t="s">
        <v>1126</v>
      </c>
      <c r="PJ1" s="181" t="s">
        <v>1128</v>
      </c>
      <c r="PK1" s="181" t="s">
        <v>1130</v>
      </c>
      <c r="PL1" s="181" t="s">
        <v>1132</v>
      </c>
      <c r="PM1" s="181" t="s">
        <v>1134</v>
      </c>
      <c r="PN1" s="181" t="s">
        <v>1136</v>
      </c>
      <c r="PO1" s="181" t="s">
        <v>1138</v>
      </c>
      <c r="PP1" s="181" t="s">
        <v>1140</v>
      </c>
      <c r="PQ1" s="181" t="s">
        <v>1142</v>
      </c>
      <c r="PR1" s="181" t="s">
        <v>1144</v>
      </c>
      <c r="PS1" s="181" t="s">
        <v>1146</v>
      </c>
      <c r="PT1" s="181" t="s">
        <v>1148</v>
      </c>
      <c r="PU1" s="181" t="s">
        <v>1150</v>
      </c>
      <c r="PV1" s="181" t="s">
        <v>1152</v>
      </c>
      <c r="PW1" s="181" t="s">
        <v>1154</v>
      </c>
      <c r="PX1" s="181" t="s">
        <v>1156</v>
      </c>
      <c r="PY1" s="181" t="s">
        <v>1158</v>
      </c>
      <c r="PZ1" s="181" t="s">
        <v>353</v>
      </c>
      <c r="QA1" s="181" t="s">
        <v>1160</v>
      </c>
      <c r="QB1" s="181" t="s">
        <v>1162</v>
      </c>
      <c r="QC1" s="181" t="s">
        <v>1164</v>
      </c>
      <c r="QD1" s="181" t="s">
        <v>1166</v>
      </c>
      <c r="QE1" s="181" t="s">
        <v>1168</v>
      </c>
      <c r="QF1" s="190" t="s">
        <v>354</v>
      </c>
      <c r="QG1" s="181" t="s">
        <v>355</v>
      </c>
      <c r="QH1" s="181" t="s">
        <v>1170</v>
      </c>
      <c r="QI1" s="181" t="s">
        <v>1172</v>
      </c>
      <c r="QJ1" s="181" t="s">
        <v>1174</v>
      </c>
      <c r="QK1" s="181" t="s">
        <v>1176</v>
      </c>
      <c r="QL1" s="181" t="s">
        <v>1178</v>
      </c>
      <c r="QM1" s="181" t="s">
        <v>1180</v>
      </c>
      <c r="QN1" s="190" t="s">
        <v>356</v>
      </c>
      <c r="QO1" s="181" t="s">
        <v>1182</v>
      </c>
      <c r="QP1" s="181" t="s">
        <v>357</v>
      </c>
      <c r="QQ1" s="181" t="s">
        <v>364</v>
      </c>
      <c r="QR1" s="181" t="s">
        <v>1184</v>
      </c>
      <c r="QS1" s="181" t="s">
        <v>1186</v>
      </c>
      <c r="QT1" s="181" t="s">
        <v>1188</v>
      </c>
      <c r="QU1" s="181" t="s">
        <v>1190</v>
      </c>
      <c r="QV1" s="181" t="s">
        <v>1192</v>
      </c>
      <c r="QW1" s="181" t="s">
        <v>1194</v>
      </c>
      <c r="QX1" s="181" t="s">
        <v>1196</v>
      </c>
      <c r="QY1" s="181" t="s">
        <v>1198</v>
      </c>
      <c r="QZ1" s="181" t="s">
        <v>1200</v>
      </c>
      <c r="RA1" s="181" t="s">
        <v>1202</v>
      </c>
      <c r="RB1" s="181" t="s">
        <v>1204</v>
      </c>
      <c r="RC1" s="181" t="s">
        <v>1206</v>
      </c>
      <c r="RD1" s="181" t="s">
        <v>1208</v>
      </c>
      <c r="RE1" s="181" t="s">
        <v>1210</v>
      </c>
      <c r="RF1" s="190" t="s">
        <v>358</v>
      </c>
      <c r="RG1" s="181" t="s">
        <v>359</v>
      </c>
      <c r="RH1" s="181" t="s">
        <v>1212</v>
      </c>
      <c r="RI1" s="181" t="s">
        <v>1214</v>
      </c>
      <c r="RJ1" s="190" t="s">
        <v>360</v>
      </c>
      <c r="RK1" s="181" t="s">
        <v>361</v>
      </c>
      <c r="RL1" s="181" t="s">
        <v>1216</v>
      </c>
      <c r="RM1" s="181" t="s">
        <v>1217</v>
      </c>
      <c r="RN1" s="181" t="s">
        <v>1218</v>
      </c>
      <c r="RO1" s="181" t="s">
        <v>1219</v>
      </c>
      <c r="RP1" s="181" t="s">
        <v>1221</v>
      </c>
      <c r="RQ1" s="181" t="s">
        <v>1222</v>
      </c>
      <c r="RR1" s="181" t="s">
        <v>1224</v>
      </c>
      <c r="RS1" s="181" t="s">
        <v>1225</v>
      </c>
      <c r="RT1" s="178" t="s">
        <v>365</v>
      </c>
      <c r="RU1" s="190" t="s">
        <v>366</v>
      </c>
      <c r="RV1" s="181" t="s">
        <v>367</v>
      </c>
      <c r="RW1" s="181" t="s">
        <v>1227</v>
      </c>
      <c r="RX1" s="181" t="s">
        <v>1229</v>
      </c>
      <c r="RY1" s="181" t="s">
        <v>368</v>
      </c>
      <c r="RZ1" s="181" t="s">
        <v>1231</v>
      </c>
      <c r="SA1" s="181" t="s">
        <v>1233</v>
      </c>
      <c r="SB1" s="181" t="s">
        <v>1235</v>
      </c>
      <c r="SC1" s="181" t="s">
        <v>1237</v>
      </c>
      <c r="SD1" s="190" t="s">
        <v>369</v>
      </c>
      <c r="SE1" s="181" t="s">
        <v>370</v>
      </c>
      <c r="SF1" s="181" t="s">
        <v>1239</v>
      </c>
      <c r="SG1" s="181" t="s">
        <v>1241</v>
      </c>
      <c r="SH1" s="181" t="s">
        <v>1243</v>
      </c>
      <c r="SI1" s="181" t="s">
        <v>1245</v>
      </c>
      <c r="SJ1" s="181" t="s">
        <v>1247</v>
      </c>
      <c r="SK1" s="181" t="s">
        <v>1249</v>
      </c>
      <c r="SL1" s="181" t="s">
        <v>1251</v>
      </c>
      <c r="SM1" s="181" t="s">
        <v>1253</v>
      </c>
      <c r="SN1" s="181" t="s">
        <v>1255</v>
      </c>
      <c r="SO1" s="181" t="s">
        <v>1257</v>
      </c>
      <c r="SP1" s="181" t="s">
        <v>1259</v>
      </c>
      <c r="SQ1" s="181" t="s">
        <v>1261</v>
      </c>
      <c r="SR1" s="181" t="s">
        <v>1263</v>
      </c>
      <c r="SS1" s="181" t="s">
        <v>1265</v>
      </c>
      <c r="ST1" s="181" t="s">
        <v>1267</v>
      </c>
      <c r="SU1" s="178" t="s">
        <v>371</v>
      </c>
      <c r="SV1" s="190" t="s">
        <v>372</v>
      </c>
      <c r="SW1" s="181" t="s">
        <v>373</v>
      </c>
      <c r="SX1" s="181" t="s">
        <v>1269</v>
      </c>
      <c r="SY1" s="181" t="s">
        <v>1271</v>
      </c>
      <c r="SZ1" s="181" t="s">
        <v>1273</v>
      </c>
      <c r="TA1" s="181" t="s">
        <v>1275</v>
      </c>
      <c r="TB1" s="181" t="s">
        <v>1277</v>
      </c>
      <c r="TC1" s="181" t="s">
        <v>374</v>
      </c>
      <c r="TD1" s="181" t="s">
        <v>1279</v>
      </c>
      <c r="TE1" s="181" t="s">
        <v>1281</v>
      </c>
      <c r="TF1" s="181" t="s">
        <v>1283</v>
      </c>
      <c r="TG1" s="181" t="s">
        <v>1285</v>
      </c>
      <c r="TH1" s="181" t="s">
        <v>1287</v>
      </c>
      <c r="TI1" s="181" t="s">
        <v>1289</v>
      </c>
      <c r="TJ1" s="190" t="s">
        <v>375</v>
      </c>
      <c r="TK1" s="181" t="s">
        <v>376</v>
      </c>
      <c r="TL1" s="181" t="s">
        <v>377</v>
      </c>
      <c r="TM1" s="181" t="s">
        <v>1291</v>
      </c>
      <c r="TN1" s="181" t="s">
        <v>1293</v>
      </c>
      <c r="TO1" s="181" t="s">
        <v>1294</v>
      </c>
      <c r="TP1" s="181" t="s">
        <v>1296</v>
      </c>
      <c r="TQ1" s="181" t="s">
        <v>1298</v>
      </c>
      <c r="TR1" s="181" t="s">
        <v>1300</v>
      </c>
      <c r="TS1" s="181" t="s">
        <v>1302</v>
      </c>
      <c r="TT1" s="181" t="s">
        <v>1304</v>
      </c>
      <c r="TU1" s="181" t="s">
        <v>1306</v>
      </c>
      <c r="TV1" s="181" t="s">
        <v>1308</v>
      </c>
      <c r="TW1" s="181" t="s">
        <v>1310</v>
      </c>
      <c r="TX1" s="181" t="s">
        <v>1312</v>
      </c>
      <c r="TY1" s="181" t="s">
        <v>1314</v>
      </c>
      <c r="TZ1" s="181" t="s">
        <v>1316</v>
      </c>
      <c r="UA1" s="181" t="s">
        <v>1318</v>
      </c>
      <c r="UB1" s="181" t="s">
        <v>1320</v>
      </c>
      <c r="UC1" s="178" t="s">
        <v>1322</v>
      </c>
      <c r="UD1" s="181" t="s">
        <v>1324</v>
      </c>
      <c r="UE1" s="181" t="s">
        <v>1326</v>
      </c>
      <c r="UF1" s="181" t="s">
        <v>1328</v>
      </c>
      <c r="UG1" s="181" t="s">
        <v>1330</v>
      </c>
      <c r="UH1" s="181" t="s">
        <v>1332</v>
      </c>
      <c r="UI1" s="184"/>
    </row>
    <row r="2" spans="1:555" s="122" customFormat="1" hidden="1" x14ac:dyDescent="0.25">
      <c r="A2" s="122" t="s">
        <v>1355</v>
      </c>
      <c r="B2" s="122" t="s">
        <v>1357</v>
      </c>
      <c r="C2" s="122" t="s">
        <v>469</v>
      </c>
      <c r="D2" s="122" t="s">
        <v>1356</v>
      </c>
      <c r="E2" s="122" t="s">
        <v>1358</v>
      </c>
      <c r="F2" s="122" t="s">
        <v>470</v>
      </c>
      <c r="G2" s="160" t="s">
        <v>1359</v>
      </c>
      <c r="H2" s="122" t="s">
        <v>1360</v>
      </c>
      <c r="I2" s="122" t="s">
        <v>1361</v>
      </c>
      <c r="J2" s="122" t="s">
        <v>1443</v>
      </c>
      <c r="K2" s="122" t="s">
        <v>1362</v>
      </c>
      <c r="L2" s="122" t="s">
        <v>1363</v>
      </c>
      <c r="M2" s="122" t="s">
        <v>1364</v>
      </c>
      <c r="N2" s="122" t="s">
        <v>1365</v>
      </c>
      <c r="O2" s="122" t="s">
        <v>1366</v>
      </c>
      <c r="P2" s="122" t="s">
        <v>1468</v>
      </c>
      <c r="Q2" s="122" t="s">
        <v>1503</v>
      </c>
      <c r="R2" s="459" t="str">
        <f>+Presupuesto!D11</f>
        <v>Recurrente</v>
      </c>
      <c r="S2" s="459" t="str">
        <f>+Presupuesto!E11</f>
        <v>Programa / Proyecto 2017</v>
      </c>
      <c r="U2" s="122" t="s">
        <v>392</v>
      </c>
      <c r="V2" s="122" t="s">
        <v>410</v>
      </c>
      <c r="W2" s="122" t="s">
        <v>393</v>
      </c>
      <c r="X2" s="122" t="s">
        <v>394</v>
      </c>
      <c r="Y2" s="122" t="s">
        <v>395</v>
      </c>
      <c r="Z2" s="122" t="s">
        <v>396</v>
      </c>
      <c r="AA2" s="122" t="s">
        <v>397</v>
      </c>
      <c r="AB2" s="122" t="s">
        <v>398</v>
      </c>
      <c r="AC2" s="122" t="s">
        <v>399</v>
      </c>
      <c r="AD2" s="122" t="s">
        <v>400</v>
      </c>
      <c r="AE2" s="122" t="s">
        <v>401</v>
      </c>
      <c r="AF2" s="122" t="s">
        <v>402</v>
      </c>
      <c r="AH2" s="454" t="s">
        <v>418</v>
      </c>
      <c r="AI2" s="454" t="s">
        <v>419</v>
      </c>
      <c r="AJ2" s="454" t="s">
        <v>420</v>
      </c>
      <c r="AK2" s="454" t="s">
        <v>421</v>
      </c>
      <c r="AL2" s="454" t="s">
        <v>422</v>
      </c>
      <c r="AM2" s="454" t="s">
        <v>425</v>
      </c>
      <c r="AN2" s="454" t="s">
        <v>423</v>
      </c>
      <c r="AO2" s="454" t="s">
        <v>424</v>
      </c>
      <c r="AP2" s="454" t="s">
        <v>426</v>
      </c>
      <c r="AQ2" s="454" t="s">
        <v>427</v>
      </c>
      <c r="AR2" s="454" t="s">
        <v>428</v>
      </c>
      <c r="AS2" s="454" t="s">
        <v>429</v>
      </c>
      <c r="AT2" s="454" t="s">
        <v>430</v>
      </c>
      <c r="AU2" s="454" t="s">
        <v>431</v>
      </c>
      <c r="AV2" s="454" t="s">
        <v>432</v>
      </c>
      <c r="AW2" s="454" t="s">
        <v>433</v>
      </c>
      <c r="AX2" s="454" t="s">
        <v>434</v>
      </c>
      <c r="AY2" s="454" t="s">
        <v>435</v>
      </c>
      <c r="AZ2" s="454" t="s">
        <v>436</v>
      </c>
      <c r="BA2" s="454" t="s">
        <v>437</v>
      </c>
      <c r="BB2" s="454" t="s">
        <v>438</v>
      </c>
      <c r="BC2" s="454" t="s">
        <v>439</v>
      </c>
      <c r="BD2" s="454" t="s">
        <v>440</v>
      </c>
      <c r="BE2" s="454" t="s">
        <v>441</v>
      </c>
      <c r="BF2" s="454" t="s">
        <v>442</v>
      </c>
      <c r="BG2" s="454" t="s">
        <v>443</v>
      </c>
      <c r="BH2" s="454" t="s">
        <v>444</v>
      </c>
      <c r="BI2" s="454" t="s">
        <v>445</v>
      </c>
      <c r="BJ2" s="454" t="s">
        <v>446</v>
      </c>
      <c r="BK2" s="454" t="s">
        <v>447</v>
      </c>
      <c r="BL2" s="454" t="s">
        <v>448</v>
      </c>
      <c r="BM2" s="454" t="s">
        <v>449</v>
      </c>
      <c r="BN2" s="454" t="s">
        <v>450</v>
      </c>
      <c r="BO2" s="454" t="s">
        <v>451</v>
      </c>
      <c r="BP2" s="454" t="s">
        <v>452</v>
      </c>
      <c r="BQ2" s="454" t="s">
        <v>453</v>
      </c>
      <c r="BR2" s="454" t="s">
        <v>454</v>
      </c>
      <c r="BS2" s="454" t="s">
        <v>455</v>
      </c>
      <c r="BT2" s="454" t="s">
        <v>456</v>
      </c>
      <c r="BU2" s="454" t="s">
        <v>457</v>
      </c>
      <c r="CB2" s="122" t="s">
        <v>1335</v>
      </c>
      <c r="CC2" s="122" t="s">
        <v>1336</v>
      </c>
      <c r="CD2" s="122" t="s">
        <v>1334</v>
      </c>
      <c r="CE2" s="122" t="s">
        <v>1337</v>
      </c>
    </row>
    <row r="3" spans="1:555" hidden="1" x14ac:dyDescent="0.25">
      <c r="AH3" s="455">
        <v>2500</v>
      </c>
      <c r="AI3" s="455">
        <v>1900</v>
      </c>
      <c r="AJ3" s="455">
        <v>1650</v>
      </c>
      <c r="AK3" s="455">
        <v>1580</v>
      </c>
      <c r="AL3" s="455">
        <v>2250</v>
      </c>
      <c r="AM3" s="455">
        <v>1650</v>
      </c>
      <c r="AN3" s="455">
        <v>1400</v>
      </c>
      <c r="AO3" s="456">
        <v>1340</v>
      </c>
      <c r="AP3" s="456">
        <v>2000</v>
      </c>
      <c r="AQ3" s="456">
        <v>1400</v>
      </c>
      <c r="AR3" s="456">
        <v>1150</v>
      </c>
      <c r="AS3" s="456">
        <v>1100</v>
      </c>
      <c r="AT3" s="456">
        <v>1750</v>
      </c>
      <c r="AU3" s="456">
        <v>1150</v>
      </c>
      <c r="AV3" s="456">
        <v>900</v>
      </c>
      <c r="AW3" s="456">
        <v>860</v>
      </c>
      <c r="AX3" s="456">
        <v>1200</v>
      </c>
      <c r="AY3" s="457">
        <v>900</v>
      </c>
      <c r="AZ3" s="457">
        <v>650</v>
      </c>
      <c r="BA3" s="457">
        <v>620</v>
      </c>
      <c r="BB3" s="455">
        <f>+'Cuadro Resumen'!C213</f>
        <v>5759.1495000000004</v>
      </c>
      <c r="BC3" s="455">
        <f>+'Cuadro Resumen'!D213</f>
        <v>5307.4515000000001</v>
      </c>
      <c r="BD3" s="455">
        <f>+'Cuadro Resumen'!E213</f>
        <v>6775.47</v>
      </c>
      <c r="BE3" s="455">
        <f>+'Cuadro Resumen'!F213</f>
        <v>6323.7719999999999</v>
      </c>
      <c r="BF3" s="455">
        <f>+'Cuadro Resumen'!C214</f>
        <v>5081.6025</v>
      </c>
      <c r="BG3" s="455">
        <f>+'Cuadro Resumen'!D214</f>
        <v>4629.9045000000006</v>
      </c>
      <c r="BH3" s="455">
        <f>+'Cuadro Resumen'!E214</f>
        <v>6097.9230000000007</v>
      </c>
      <c r="BI3" s="455">
        <f>+'Cuadro Resumen'!F214</f>
        <v>5646.2250000000004</v>
      </c>
      <c r="BJ3" s="456">
        <f>+'Cuadro Resumen'!C215</f>
        <v>4404.0555000000004</v>
      </c>
      <c r="BK3" s="456">
        <f>+'Cuadro Resumen'!D215</f>
        <v>4065.2820000000002</v>
      </c>
      <c r="BL3" s="456">
        <f>+'Cuadro Resumen'!E215</f>
        <v>5420.3760000000002</v>
      </c>
      <c r="BM3" s="456">
        <f>+'Cuadro Resumen'!F215</f>
        <v>4968.6779999999999</v>
      </c>
      <c r="BN3" s="456">
        <f>+'Cuadro Resumen'!C216</f>
        <v>3726.5085000000004</v>
      </c>
      <c r="BO3" s="456">
        <f>+'Cuadro Resumen'!D216</f>
        <v>3387.7350000000001</v>
      </c>
      <c r="BP3" s="456">
        <f>+'Cuadro Resumen'!E216</f>
        <v>4742.8290000000006</v>
      </c>
      <c r="BQ3" s="456">
        <f>+'Cuadro Resumen'!F216</f>
        <v>4404.0555000000004</v>
      </c>
      <c r="BR3" s="456">
        <f>+'Cuadro Resumen'!C217</f>
        <v>3274.8105</v>
      </c>
      <c r="BS3" s="456">
        <f>+'Cuadro Resumen'!D217</f>
        <v>3048.9615000000003</v>
      </c>
      <c r="BT3" s="456">
        <f>+'Cuadro Resumen'!E217</f>
        <v>4178.2065000000002</v>
      </c>
      <c r="BU3" s="456">
        <f>+'Cuadro Resumen'!F217</f>
        <v>3839.433</v>
      </c>
      <c r="CB3" s="86">
        <v>35000</v>
      </c>
      <c r="CC3" s="86">
        <v>15000</v>
      </c>
      <c r="CD3" s="86">
        <v>35000</v>
      </c>
      <c r="CE3" s="86">
        <v>15000</v>
      </c>
    </row>
    <row r="4" spans="1:555" ht="15.75" thickBot="1" x14ac:dyDescent="0.3"/>
    <row r="5" spans="1:555" ht="53.25" thickBot="1" x14ac:dyDescent="0.3">
      <c r="C5" s="87" t="s">
        <v>381</v>
      </c>
      <c r="D5" s="198">
        <f>SUMIF(C:C,$C$10,D:D)</f>
        <v>862000</v>
      </c>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B10" s="93"/>
      <c r="C10" s="29" t="s">
        <v>43</v>
      </c>
      <c r="D10" s="108">
        <f>SUM(F17:F35)</f>
        <v>862000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390</v>
      </c>
      <c r="D13" s="368" t="str">
        <f>'17. Gestión TIC'!F27</f>
        <v>4.2.1</v>
      </c>
      <c r="E13" s="93"/>
      <c r="F13" s="93"/>
      <c r="G13" s="93"/>
      <c r="H13" s="76"/>
      <c r="I13" s="76"/>
      <c r="J13" s="76"/>
      <c r="K13" s="112"/>
    </row>
    <row r="14" spans="1:555" ht="18.75" x14ac:dyDescent="0.2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Proceso...'!$G:$H,2,FALSE),IFERROR(VLOOKUP(D13,'12.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U.'!$G:$H,2,0)))))))))))))))))</f>
        <v xml:space="preserve">4.2.1.  Equipo de oficina a adquirir: a) Dos computadora de escritorio; b) Una impresora Epson Ecotank; c) Una cámara fotográfica profesional; d) Una computadora portátil; e) Licencia Docuware; f)  i) Una grabadora digital (UNAH-VS). 4.2..2 a) Una computadora de escritorio; b)  Una cámara fotográfica profesional; c) Un disco duro portátil; d) Una impresora multifuncional; e) Un router; F) Un televisor de 50"; g) Un datasho; H) Licencia Docuware; i) Tablet; j) Una computadora portátil; k) 3 Baterías para computadora (CURLA);  4.2.3 a) Planta telefónica; b) Una computadoras portátil; c) Una impresora multifuncional; d) Una cámara fotográfica profesional; e) Licencia Docuware; f) Apuntador/Control Diapositivas; g) Grabadora digital; h) Pantalla Interactiva; l) Tablet; j) Disco externo k) Router L) Una Computadora de escritorio(Delegación FCM); 4.2.4. a) Tres computadoras de escritorio (Comunicación, Acoso Sexual, CSNO); b) Una cámara profesional con trípode; c) Un tv de 50"; d) Una impresora a color (Asistente); e) Ipad (Comisionado); f) Una tablet (CSNO); g) Una tablet (Asistente); h) Una tablet i) Data show aéreo sala de conferencias oficina central.(Comunicación); 4 computadoras de escritorio (Nuevas delegaciones); 2 Impresoras multifuncionales; dos cámaras fotográficas y dos grabadoras profesionales (Delegaciones nuevas); Dos teléfonos nuevas regionales; Disco externo (Asistente) (Ciudad Universitaria). </v>
      </c>
      <c r="D14" s="31"/>
      <c r="E14" s="93"/>
      <c r="F14" s="93"/>
      <c r="G14" s="93"/>
      <c r="H14" s="76"/>
      <c r="I14" s="76"/>
      <c r="J14" s="76"/>
      <c r="K14" s="112"/>
    </row>
    <row r="15" spans="1:555" x14ac:dyDescent="0.25">
      <c r="B15" s="93"/>
      <c r="F15" s="93"/>
      <c r="G15" s="76"/>
      <c r="H15" s="76"/>
      <c r="I15" s="76"/>
    </row>
    <row r="16" spans="1:555" ht="32.25" customHeight="1" thickBot="1" x14ac:dyDescent="0.3">
      <c r="B16" s="93"/>
      <c r="C16" s="149" t="s">
        <v>44</v>
      </c>
      <c r="D16" s="149" t="s">
        <v>55</v>
      </c>
      <c r="E16" s="149" t="s">
        <v>57</v>
      </c>
      <c r="F16" s="150" t="s">
        <v>27</v>
      </c>
      <c r="G16" s="150" t="s">
        <v>129</v>
      </c>
      <c r="H16" s="149" t="s">
        <v>46</v>
      </c>
      <c r="I16" s="149" t="s">
        <v>130</v>
      </c>
      <c r="J16" s="149" t="s">
        <v>408</v>
      </c>
      <c r="K16" s="149" t="s">
        <v>409</v>
      </c>
      <c r="L16" s="149" t="s">
        <v>462</v>
      </c>
    </row>
    <row r="17" spans="2:12" ht="15.75" thickBot="1" x14ac:dyDescent="0.3">
      <c r="B17" s="93"/>
      <c r="C17" s="304" t="s">
        <v>1337</v>
      </c>
      <c r="D17" s="158">
        <f>2+3+4+1+2</f>
        <v>12</v>
      </c>
      <c r="E17" s="96">
        <v>20000</v>
      </c>
      <c r="F17" s="97">
        <f>D17*E17</f>
        <v>240000</v>
      </c>
      <c r="G17" s="165" t="s">
        <v>1675</v>
      </c>
      <c r="H17" s="98" t="s">
        <v>1012</v>
      </c>
      <c r="I17" s="98" t="str">
        <f>VLOOKUP(H17,Presupuesto!$B$11:$C$565,2,0)</f>
        <v>EQUIPO DE COMPUTACION</v>
      </c>
      <c r="J17" s="218" t="s">
        <v>1503</v>
      </c>
      <c r="K17" s="98" t="s">
        <v>393</v>
      </c>
      <c r="L17" s="98"/>
    </row>
    <row r="18" spans="2:12" x14ac:dyDescent="0.25">
      <c r="B18" s="93"/>
      <c r="C18" s="304" t="s">
        <v>1335</v>
      </c>
      <c r="D18" s="151">
        <v>3</v>
      </c>
      <c r="E18" s="96">
        <v>25000</v>
      </c>
      <c r="F18" s="97">
        <f t="shared" ref="F18:F35" si="0">D18*E18</f>
        <v>75000</v>
      </c>
      <c r="G18" s="165" t="s">
        <v>1675</v>
      </c>
      <c r="H18" s="101" t="s">
        <v>1012</v>
      </c>
      <c r="I18" s="101" t="str">
        <f>VLOOKUP(H18,Presupuesto!$B$11:$C$565,2,0)</f>
        <v>EQUIPO DE COMPUTACION</v>
      </c>
      <c r="J18" s="98" t="str">
        <f t="shared" ref="J18:J34" si="1">$J$17</f>
        <v>Gestión Tecnologías de Información y Comunicación</v>
      </c>
      <c r="K18" s="98" t="s">
        <v>393</v>
      </c>
      <c r="L18" s="98"/>
    </row>
    <row r="19" spans="2:12" x14ac:dyDescent="0.25">
      <c r="B19" s="93"/>
      <c r="C19" s="99" t="s">
        <v>1698</v>
      </c>
      <c r="D19" s="151">
        <v>2</v>
      </c>
      <c r="E19" s="100">
        <v>1000</v>
      </c>
      <c r="F19" s="97">
        <f t="shared" si="0"/>
        <v>2000</v>
      </c>
      <c r="G19" s="165" t="s">
        <v>127</v>
      </c>
      <c r="H19" s="101" t="s">
        <v>984</v>
      </c>
      <c r="I19" s="101" t="str">
        <f>VLOOKUP(H19,Presupuesto!$B$11:$C$565,2,0)</f>
        <v>EQUIPOS VARIOS DE OFICINA</v>
      </c>
      <c r="J19" s="98" t="str">
        <f t="shared" si="1"/>
        <v>Gestión Tecnologías de Información y Comunicación</v>
      </c>
      <c r="K19" s="98" t="s">
        <v>393</v>
      </c>
      <c r="L19" s="98"/>
    </row>
    <row r="20" spans="2:12" x14ac:dyDescent="0.25">
      <c r="B20" s="93"/>
      <c r="C20" s="99" t="s">
        <v>74</v>
      </c>
      <c r="D20" s="151"/>
      <c r="E20" s="100"/>
      <c r="F20" s="97">
        <f t="shared" si="0"/>
        <v>0</v>
      </c>
      <c r="G20" s="165"/>
      <c r="H20" s="101" t="s">
        <v>1012</v>
      </c>
      <c r="I20" s="101" t="str">
        <f>VLOOKUP(H20,Presupuesto!$B$11:$C$565,2,0)</f>
        <v>EQUIPO DE COMPUTACION</v>
      </c>
      <c r="J20" s="98" t="str">
        <f t="shared" si="1"/>
        <v>Gestión Tecnologías de Información y Comunicación</v>
      </c>
      <c r="K20" s="98" t="s">
        <v>393</v>
      </c>
      <c r="L20" s="98"/>
    </row>
    <row r="21" spans="2:12" x14ac:dyDescent="0.25">
      <c r="B21" s="93"/>
      <c r="C21" s="99" t="s">
        <v>75</v>
      </c>
      <c r="D21" s="151">
        <v>2</v>
      </c>
      <c r="E21" s="100">
        <v>10000</v>
      </c>
      <c r="F21" s="97">
        <f t="shared" si="0"/>
        <v>20000</v>
      </c>
      <c r="G21" s="165" t="s">
        <v>1675</v>
      </c>
      <c r="H21" s="101" t="s">
        <v>1012</v>
      </c>
      <c r="I21" s="101" t="str">
        <f>VLOOKUP(H21,Presupuesto!$B$11:$C$565,2,0)</f>
        <v>EQUIPO DE COMPUTACION</v>
      </c>
      <c r="J21" s="98" t="str">
        <f t="shared" si="1"/>
        <v>Gestión Tecnologías de Información y Comunicación</v>
      </c>
      <c r="K21" s="98" t="s">
        <v>397</v>
      </c>
      <c r="L21" s="98"/>
    </row>
    <row r="22" spans="2:12" s="463" customFormat="1" x14ac:dyDescent="0.25">
      <c r="B22" s="93"/>
      <c r="C22" s="99" t="s">
        <v>1695</v>
      </c>
      <c r="D22" s="151">
        <v>4</v>
      </c>
      <c r="E22" s="100">
        <v>14000</v>
      </c>
      <c r="F22" s="97">
        <f t="shared" si="0"/>
        <v>56000</v>
      </c>
      <c r="G22" s="165" t="s">
        <v>1675</v>
      </c>
      <c r="H22" s="101" t="s">
        <v>1012</v>
      </c>
      <c r="I22" s="101" t="str">
        <f>VLOOKUP(H22,Presupuesto!$B$11:$C$565,2,0)</f>
        <v>EQUIPO DE COMPUTACION</v>
      </c>
      <c r="J22" s="98" t="str">
        <f t="shared" si="1"/>
        <v>Gestión Tecnologías de Información y Comunicación</v>
      </c>
      <c r="K22" s="98" t="s">
        <v>393</v>
      </c>
      <c r="L22" s="98"/>
    </row>
    <row r="23" spans="2:12" x14ac:dyDescent="0.25">
      <c r="B23" s="93"/>
      <c r="C23" s="99" t="s">
        <v>35</v>
      </c>
      <c r="D23" s="151">
        <f>2+2</f>
        <v>4</v>
      </c>
      <c r="E23" s="100">
        <v>14000</v>
      </c>
      <c r="F23" s="97">
        <f t="shared" si="0"/>
        <v>56000</v>
      </c>
      <c r="G23" s="165" t="s">
        <v>1675</v>
      </c>
      <c r="H23" s="101" t="s">
        <v>984</v>
      </c>
      <c r="I23" s="101" t="str">
        <f>VLOOKUP(H23,Presupuesto!$B$11:$C$565,2,0)</f>
        <v>EQUIPOS VARIOS DE OFICINA</v>
      </c>
      <c r="J23" s="98" t="str">
        <f t="shared" si="1"/>
        <v>Gestión Tecnologías de Información y Comunicación</v>
      </c>
      <c r="K23" s="98" t="s">
        <v>393</v>
      </c>
      <c r="L23" s="98"/>
    </row>
    <row r="24" spans="2:12" x14ac:dyDescent="0.25">
      <c r="B24" s="93"/>
      <c r="C24" s="99" t="s">
        <v>1699</v>
      </c>
      <c r="D24" s="151">
        <v>2</v>
      </c>
      <c r="E24" s="100">
        <v>13000</v>
      </c>
      <c r="F24" s="97">
        <f t="shared" si="0"/>
        <v>26000</v>
      </c>
      <c r="G24" s="165" t="s">
        <v>127</v>
      </c>
      <c r="H24" s="101" t="s">
        <v>986</v>
      </c>
      <c r="I24" s="101" t="str">
        <f>VLOOKUP(H24,Presupuesto!$B$11:$C$565,2,0)</f>
        <v>EQUIPOS VARIOS DE OFICINA</v>
      </c>
      <c r="J24" s="98" t="str">
        <f t="shared" si="1"/>
        <v>Gestión Tecnologías de Información y Comunicación</v>
      </c>
      <c r="K24" s="98" t="s">
        <v>394</v>
      </c>
      <c r="L24" s="98"/>
    </row>
    <row r="25" spans="2:12" x14ac:dyDescent="0.25">
      <c r="B25" s="93"/>
      <c r="C25" s="99" t="s">
        <v>1701</v>
      </c>
      <c r="D25" s="151">
        <v>1</v>
      </c>
      <c r="E25" s="100">
        <v>15000</v>
      </c>
      <c r="F25" s="97">
        <f t="shared" si="0"/>
        <v>15000</v>
      </c>
      <c r="G25" s="165" t="s">
        <v>1675</v>
      </c>
      <c r="H25" s="101" t="s">
        <v>986</v>
      </c>
      <c r="I25" s="101" t="str">
        <f>VLOOKUP(H25,Presupuesto!$B$11:$C$565,2,0)</f>
        <v>EQUIPOS VARIOS DE OFICINA</v>
      </c>
      <c r="J25" s="98" t="str">
        <f t="shared" si="1"/>
        <v>Gestión Tecnologías de Información y Comunicación</v>
      </c>
      <c r="K25" s="98" t="s">
        <v>395</v>
      </c>
      <c r="L25" s="98"/>
    </row>
    <row r="26" spans="2:12" x14ac:dyDescent="0.25">
      <c r="C26" s="99" t="s">
        <v>1696</v>
      </c>
      <c r="D26" s="151">
        <v>3</v>
      </c>
      <c r="E26" s="100">
        <v>60000</v>
      </c>
      <c r="F26" s="97">
        <f t="shared" si="0"/>
        <v>180000</v>
      </c>
      <c r="G26" s="165" t="s">
        <v>1675</v>
      </c>
      <c r="H26" s="101" t="s">
        <v>1044</v>
      </c>
      <c r="I26" s="101" t="str">
        <f>VLOOKUP(H26,Presupuesto!$B$11:$C$565,2,0)</f>
        <v>APLICACIONES INFORMATICAS</v>
      </c>
      <c r="J26" s="98" t="str">
        <f t="shared" si="1"/>
        <v>Gestión Tecnologías de Información y Comunicación</v>
      </c>
      <c r="K26" s="98" t="s">
        <v>393</v>
      </c>
      <c r="L26" s="98"/>
    </row>
    <row r="27" spans="2:12" s="463" customFormat="1" x14ac:dyDescent="0.25">
      <c r="C27" s="109" t="s">
        <v>1697</v>
      </c>
      <c r="D27" s="151">
        <f>1+1+2</f>
        <v>4</v>
      </c>
      <c r="E27" s="100">
        <v>20000</v>
      </c>
      <c r="F27" s="97">
        <f t="shared" si="0"/>
        <v>80000</v>
      </c>
      <c r="G27" s="165" t="s">
        <v>1675</v>
      </c>
      <c r="H27" s="101" t="s">
        <v>984</v>
      </c>
      <c r="I27" s="101" t="str">
        <f>VLOOKUP(H27,Presupuesto!$B$11:$C$565,2,0)</f>
        <v>EQUIPOS VARIOS DE OFICINA</v>
      </c>
      <c r="J27" s="98" t="str">
        <f t="shared" si="1"/>
        <v>Gestión Tecnologías de Información y Comunicación</v>
      </c>
      <c r="K27" s="98" t="s">
        <v>394</v>
      </c>
      <c r="L27" s="98"/>
    </row>
    <row r="28" spans="2:12" s="463" customFormat="1" x14ac:dyDescent="0.25">
      <c r="C28" s="109" t="s">
        <v>1702</v>
      </c>
      <c r="D28" s="151">
        <f>1+1+2</f>
        <v>4</v>
      </c>
      <c r="E28" s="100">
        <v>4000</v>
      </c>
      <c r="F28" s="97">
        <f t="shared" si="0"/>
        <v>16000</v>
      </c>
      <c r="G28" s="165" t="s">
        <v>127</v>
      </c>
      <c r="H28" s="101" t="s">
        <v>984</v>
      </c>
      <c r="I28" s="101" t="str">
        <f>VLOOKUP(H28,Presupuesto!$B$11:$C$565,2,0)</f>
        <v>EQUIPOS VARIOS DE OFICINA</v>
      </c>
      <c r="J28" s="98" t="str">
        <f t="shared" si="1"/>
        <v>Gestión Tecnologías de Información y Comunicación</v>
      </c>
      <c r="K28" s="98" t="s">
        <v>395</v>
      </c>
      <c r="L28" s="98"/>
    </row>
    <row r="29" spans="2:12" x14ac:dyDescent="0.25">
      <c r="C29" s="109" t="s">
        <v>79</v>
      </c>
      <c r="D29" s="151">
        <f>1+1+1</f>
        <v>3</v>
      </c>
      <c r="E29" s="100">
        <v>2000</v>
      </c>
      <c r="F29" s="97">
        <f t="shared" si="0"/>
        <v>6000</v>
      </c>
      <c r="G29" s="165" t="s">
        <v>127</v>
      </c>
      <c r="H29" s="110" t="s">
        <v>1012</v>
      </c>
      <c r="I29" s="110" t="str">
        <f>VLOOKUP(H29,Presupuesto!$B$11:$C$565,2,0)</f>
        <v>EQUIPO DE COMPUTACION</v>
      </c>
      <c r="J29" s="98" t="str">
        <f t="shared" si="1"/>
        <v>Gestión Tecnologías de Información y Comunicación</v>
      </c>
      <c r="K29" s="98" t="s">
        <v>393</v>
      </c>
      <c r="L29" s="98"/>
    </row>
    <row r="30" spans="2:12" x14ac:dyDescent="0.25">
      <c r="C30" s="109" t="s">
        <v>1471</v>
      </c>
      <c r="D30" s="151">
        <f>1+1+2</f>
        <v>4</v>
      </c>
      <c r="E30" s="100">
        <v>1500</v>
      </c>
      <c r="F30" s="97">
        <f t="shared" si="0"/>
        <v>6000</v>
      </c>
      <c r="G30" s="165" t="s">
        <v>127</v>
      </c>
      <c r="H30" s="101" t="s">
        <v>984</v>
      </c>
      <c r="I30" s="110" t="str">
        <f>VLOOKUP(H30,Presupuesto!$B$11:$C$565,2,0)</f>
        <v>EQUIPOS VARIOS DE OFICINA</v>
      </c>
      <c r="J30" s="98" t="str">
        <f t="shared" si="1"/>
        <v>Gestión Tecnologías de Información y Comunicación</v>
      </c>
      <c r="K30" s="98" t="s">
        <v>394</v>
      </c>
      <c r="L30" s="98"/>
    </row>
    <row r="31" spans="2:12" x14ac:dyDescent="0.25">
      <c r="C31" s="109" t="s">
        <v>80</v>
      </c>
      <c r="D31" s="151">
        <f>2+2</f>
        <v>4</v>
      </c>
      <c r="E31" s="100">
        <v>2000</v>
      </c>
      <c r="F31" s="97">
        <f t="shared" si="0"/>
        <v>8000</v>
      </c>
      <c r="G31" s="165" t="s">
        <v>127</v>
      </c>
      <c r="H31" s="101" t="s">
        <v>984</v>
      </c>
      <c r="I31" s="110" t="str">
        <f>VLOOKUP(H31,Presupuesto!$B$11:$C$565,2,0)</f>
        <v>EQUIPOS VARIOS DE OFICINA</v>
      </c>
      <c r="J31" s="98" t="str">
        <f t="shared" si="1"/>
        <v>Gestión Tecnologías de Información y Comunicación</v>
      </c>
      <c r="K31" s="98" t="s">
        <v>393</v>
      </c>
      <c r="L31" s="98"/>
    </row>
    <row r="32" spans="2:12" s="463" customFormat="1" x14ac:dyDescent="0.25">
      <c r="C32" s="109" t="s">
        <v>1700</v>
      </c>
      <c r="D32" s="151">
        <f>1+1+1+1</f>
        <v>4</v>
      </c>
      <c r="E32" s="100">
        <v>5000</v>
      </c>
      <c r="F32" s="97">
        <f t="shared" si="0"/>
        <v>20000</v>
      </c>
      <c r="G32" s="165" t="s">
        <v>1675</v>
      </c>
      <c r="H32" s="101" t="s">
        <v>984</v>
      </c>
      <c r="I32" s="110" t="str">
        <f>VLOOKUP(H32,Presupuesto!$B$11:$C$565,2,0)</f>
        <v>EQUIPOS VARIOS DE OFICINA</v>
      </c>
      <c r="J32" s="98" t="str">
        <f t="shared" si="1"/>
        <v>Gestión Tecnologías de Información y Comunicación</v>
      </c>
      <c r="K32" s="98" t="s">
        <v>394</v>
      </c>
      <c r="L32" s="98"/>
    </row>
    <row r="33" spans="2:12" s="463" customFormat="1" x14ac:dyDescent="0.25">
      <c r="C33" s="109" t="s">
        <v>1899</v>
      </c>
      <c r="D33" s="151">
        <v>1</v>
      </c>
      <c r="E33" s="100">
        <v>11000</v>
      </c>
      <c r="F33" s="97">
        <f t="shared" si="0"/>
        <v>11000</v>
      </c>
      <c r="G33" s="165" t="s">
        <v>1675</v>
      </c>
      <c r="H33" s="101" t="s">
        <v>984</v>
      </c>
      <c r="I33" s="110" t="str">
        <f>VLOOKUP(H33,Presupuesto!$B$11:$C$565,2,0)</f>
        <v>EQUIPOS VARIOS DE OFICINA</v>
      </c>
      <c r="J33" s="98" t="str">
        <f t="shared" si="1"/>
        <v>Gestión Tecnologías de Información y Comunicación</v>
      </c>
      <c r="K33" s="98" t="s">
        <v>410</v>
      </c>
      <c r="L33" s="98"/>
    </row>
    <row r="34" spans="2:12" x14ac:dyDescent="0.25">
      <c r="C34" s="109" t="s">
        <v>1704</v>
      </c>
      <c r="D34" s="151">
        <v>1</v>
      </c>
      <c r="E34" s="100">
        <v>25000</v>
      </c>
      <c r="F34" s="97">
        <f t="shared" si="0"/>
        <v>25000</v>
      </c>
      <c r="G34" s="165" t="s">
        <v>1675</v>
      </c>
      <c r="H34" s="110" t="s">
        <v>984</v>
      </c>
      <c r="I34" s="110" t="str">
        <f>VLOOKUP(H34,Presupuesto!$B$11:$C$565,2,0)</f>
        <v>EQUIPOS VARIOS DE OFICINA</v>
      </c>
      <c r="J34" s="98" t="str">
        <f t="shared" si="1"/>
        <v>Gestión Tecnologías de Información y Comunicación</v>
      </c>
      <c r="K34" s="98" t="s">
        <v>397</v>
      </c>
      <c r="L34" s="98"/>
    </row>
    <row r="35" spans="2:12" ht="15.75" thickBot="1" x14ac:dyDescent="0.3">
      <c r="B35" s="93"/>
      <c r="C35" s="102" t="s">
        <v>1703</v>
      </c>
      <c r="D35" s="159">
        <v>1</v>
      </c>
      <c r="E35" s="104">
        <v>20000</v>
      </c>
      <c r="F35" s="97">
        <f t="shared" si="0"/>
        <v>20000</v>
      </c>
      <c r="G35" s="162" t="s">
        <v>1675</v>
      </c>
      <c r="H35" s="106" t="s">
        <v>986</v>
      </c>
      <c r="I35" s="106" t="str">
        <f>VLOOKUP(H35,Presupuesto!$B$11:$C$565,2,0)</f>
        <v>EQUIPOS VARIOS DE OFICINA</v>
      </c>
      <c r="J35" s="106" t="str">
        <f>$J$17</f>
        <v>Gestión Tecnologías de Información y Comunicación</v>
      </c>
      <c r="K35" s="98" t="s">
        <v>394</v>
      </c>
      <c r="L35" s="124"/>
    </row>
    <row r="36" spans="2:12" x14ac:dyDescent="0.25">
      <c r="B36" s="93"/>
      <c r="F36" s="93"/>
      <c r="G36" s="76"/>
      <c r="H36" s="76"/>
      <c r="I36" s="76"/>
      <c r="K36" s="98"/>
    </row>
    <row r="37" spans="2:12" ht="15.75" thickBot="1" x14ac:dyDescent="0.3"/>
    <row r="38" spans="2:12" ht="15.75" thickBot="1" x14ac:dyDescent="0.3">
      <c r="C38" s="29" t="s">
        <v>43</v>
      </c>
      <c r="D38" s="108">
        <f>SUM(F45:F58)</f>
        <v>0</v>
      </c>
      <c r="F38" s="596"/>
      <c r="G38" s="79"/>
      <c r="H38" s="70"/>
      <c r="I38" s="70"/>
    </row>
    <row r="39" spans="2:12" x14ac:dyDescent="0.25">
      <c r="C39" s="70"/>
      <c r="D39" s="31"/>
      <c r="E39" s="93"/>
      <c r="F39" s="93"/>
      <c r="G39" s="93"/>
      <c r="H39" s="76"/>
      <c r="I39" s="76"/>
      <c r="J39" s="76"/>
      <c r="K39" s="112"/>
    </row>
    <row r="40" spans="2:12" x14ac:dyDescent="0.25">
      <c r="C40" s="70"/>
      <c r="D40" s="31"/>
      <c r="E40" s="93"/>
      <c r="F40" s="93"/>
      <c r="G40" s="93"/>
      <c r="H40" s="76"/>
      <c r="I40" s="76"/>
      <c r="J40" s="76"/>
      <c r="K40" s="112"/>
    </row>
    <row r="41" spans="2:12" ht="15.75" x14ac:dyDescent="0.25">
      <c r="C41" s="202" t="s">
        <v>390</v>
      </c>
      <c r="D41" s="368"/>
      <c r="E41" s="93"/>
      <c r="F41" s="93"/>
      <c r="G41" s="93"/>
      <c r="H41" s="76"/>
      <c r="I41" s="76"/>
      <c r="J41" s="76"/>
      <c r="K41" s="112"/>
    </row>
    <row r="42" spans="2:12" ht="18.75" x14ac:dyDescent="0.25">
      <c r="C42" s="210" t="e">
        <f>IFERROR(VLOOKUP(D41,'1. Desarrollo e Innov. Curricu.'!$F:$G,2,FALSE),IFERROR(VLOOKUP(D41,'2. Investigación Científica'!$F:$G,2,FALSE),IFERROR(VLOOKUP(D41,'3. Vinculación Univ. Sociedad'!$F:$G,2,FALSE),IFERROR(VLOOKUP(D41,'4. Docencia y Profesorado Univ.'!$F:$G,2,FALSE),IFERROR(VLOOKUP(D41,'5. Estudiantes y Graduados'!$F:$G,2,FALSE),IFERROR(VLOOKUP(D41,'11. Gestion Administrativa'!$F:$G,2,FALSE),IFERROR(VLOOKUP(D41,'13. Gestión Académica'!$F:$G,2,FALSE),IFERROR(VLOOKUP(D41,'9. Asegura. de la Calid. y M'!$F:$G,2,FALSE),IFERROR(VLOOKUP(D41,'6. Gestión del Conocimiento'!$F:$G,2,FALSE),IFERROR(VLOOKUP(D41,'15. Gobernabilidad y Proceso...'!$G:$H,2,FALSE),IFERROR(VLOOKUP(D41,'12. Gestión del Talento Humano'!$F:$G,2,FALSE),IFERROR(VLOOKUP(D41,'14. Internacional... de la E.S.'!$F:$G,2,FALSE),IFERROR(VLOOKUP(D41,'10. Posgrado'!$F:$G,2,FALSE),IFERROR(VLOOKUP(D41,'16. Desa. del Sistema Educ.Sup.'!$F:$G,2,FALSE),IFERROR(VLOOKUP(D41,'8. Cultura de Inno. Insti...'!$F:$G,2,FALSE),VLOOKUP(D41,'7. Lo Esencial de la Reforma U.'!$G:$H,2,0))))))))))))))))</f>
        <v>#N/A</v>
      </c>
      <c r="D42" s="31"/>
      <c r="E42" s="93"/>
      <c r="F42" s="93"/>
      <c r="G42" s="93"/>
      <c r="H42" s="76"/>
      <c r="I42" s="76"/>
      <c r="J42" s="76"/>
      <c r="K42" s="112"/>
    </row>
    <row r="43" spans="2:12" x14ac:dyDescent="0.25">
      <c r="F43" s="93"/>
      <c r="G43" s="76"/>
      <c r="H43" s="76"/>
      <c r="I43" s="76"/>
    </row>
    <row r="44" spans="2:12" ht="30.75" thickBot="1" x14ac:dyDescent="0.3">
      <c r="C44" s="149" t="s">
        <v>44</v>
      </c>
      <c r="D44" s="149" t="s">
        <v>55</v>
      </c>
      <c r="E44" s="149" t="s">
        <v>57</v>
      </c>
      <c r="F44" s="150" t="s">
        <v>27</v>
      </c>
      <c r="G44" s="150" t="s">
        <v>129</v>
      </c>
      <c r="H44" s="149" t="s">
        <v>46</v>
      </c>
      <c r="I44" s="149" t="s">
        <v>130</v>
      </c>
      <c r="J44" s="149" t="s">
        <v>408</v>
      </c>
      <c r="K44" s="149" t="s">
        <v>409</v>
      </c>
      <c r="L44" s="149" t="s">
        <v>462</v>
      </c>
    </row>
    <row r="45" spans="2:12" ht="15.75" thickBot="1" x14ac:dyDescent="0.3">
      <c r="C45" s="304" t="s">
        <v>1337</v>
      </c>
      <c r="D45" s="158"/>
      <c r="E45" s="96">
        <f>HLOOKUP($C45,$CB$2:$CE$3,2,0)</f>
        <v>15000</v>
      </c>
      <c r="F45" s="97">
        <f>D45*E45</f>
        <v>0</v>
      </c>
      <c r="G45" s="165"/>
      <c r="H45" s="98" t="s">
        <v>1012</v>
      </c>
      <c r="I45" s="98" t="str">
        <f>VLOOKUP(H45,Presupuesto!$B$11:$C$565,2,0)</f>
        <v>EQUIPO DE COMPUTACION</v>
      </c>
      <c r="J45" s="218" t="s">
        <v>1443</v>
      </c>
      <c r="K45" s="98" t="s">
        <v>392</v>
      </c>
      <c r="L45" s="98"/>
    </row>
    <row r="46" spans="2:12" x14ac:dyDescent="0.25">
      <c r="C46" s="304" t="s">
        <v>1335</v>
      </c>
      <c r="D46" s="151"/>
      <c r="E46" s="96">
        <f>HLOOKUP($C46,$CB$2:$CE$3,2,0)</f>
        <v>35000</v>
      </c>
      <c r="F46" s="97">
        <f>D46*E46</f>
        <v>0</v>
      </c>
      <c r="G46" s="165"/>
      <c r="H46" s="101" t="s">
        <v>1012</v>
      </c>
      <c r="I46" s="101" t="str">
        <f>VLOOKUP(H46,Presupuesto!$B$11:$C$565,2,0)</f>
        <v>EQUIPO DE COMPUTACION</v>
      </c>
      <c r="J46" s="98" t="str">
        <f>$J$45</f>
        <v>Posgrado</v>
      </c>
      <c r="K46" s="98" t="s">
        <v>410</v>
      </c>
      <c r="L46" s="98"/>
    </row>
    <row r="47" spans="2:12" x14ac:dyDescent="0.25">
      <c r="C47" s="99" t="s">
        <v>73</v>
      </c>
      <c r="D47" s="151"/>
      <c r="E47" s="100">
        <v>4000</v>
      </c>
      <c r="F47" s="97">
        <f t="shared" ref="F47:F58" si="2">D47*E47</f>
        <v>0</v>
      </c>
      <c r="G47" s="165"/>
      <c r="H47" s="101" t="s">
        <v>984</v>
      </c>
      <c r="I47" s="101" t="str">
        <f>VLOOKUP(H47,Presupuesto!$B$11:$C$565,2,0)</f>
        <v>EQUIPOS VARIOS DE OFICINA</v>
      </c>
      <c r="J47" s="98" t="str">
        <f t="shared" ref="J47:J58" si="3">$J$45</f>
        <v>Posgrado</v>
      </c>
      <c r="K47" s="98" t="s">
        <v>393</v>
      </c>
      <c r="L47" s="98"/>
    </row>
    <row r="48" spans="2:12" x14ac:dyDescent="0.25">
      <c r="C48" s="99" t="s">
        <v>74</v>
      </c>
      <c r="D48" s="151"/>
      <c r="E48" s="100">
        <v>8000</v>
      </c>
      <c r="F48" s="97">
        <f t="shared" si="2"/>
        <v>0</v>
      </c>
      <c r="G48" s="165"/>
      <c r="H48" s="101" t="s">
        <v>1012</v>
      </c>
      <c r="I48" s="101" t="str">
        <f>VLOOKUP(H48,Presupuesto!$B$11:$C$565,2,0)</f>
        <v>EQUIPO DE COMPUTACION</v>
      </c>
      <c r="J48" s="98" t="str">
        <f t="shared" si="3"/>
        <v>Posgrado</v>
      </c>
      <c r="K48" s="98" t="s">
        <v>393</v>
      </c>
      <c r="L48" s="98"/>
    </row>
    <row r="49" spans="3:12" x14ac:dyDescent="0.25">
      <c r="C49" s="99" t="s">
        <v>75</v>
      </c>
      <c r="D49" s="151"/>
      <c r="E49" s="100">
        <v>5000</v>
      </c>
      <c r="F49" s="97">
        <f t="shared" si="2"/>
        <v>0</v>
      </c>
      <c r="G49" s="165"/>
      <c r="H49" s="101" t="s">
        <v>1012</v>
      </c>
      <c r="I49" s="101" t="str">
        <f>VLOOKUP(H49,Presupuesto!$B$11:$C$565,2,0)</f>
        <v>EQUIPO DE COMPUTACION</v>
      </c>
      <c r="J49" s="98" t="str">
        <f t="shared" si="3"/>
        <v>Posgrado</v>
      </c>
      <c r="K49" s="98" t="s">
        <v>393</v>
      </c>
      <c r="L49" s="98"/>
    </row>
    <row r="50" spans="3:12" x14ac:dyDescent="0.25">
      <c r="C50" s="99" t="s">
        <v>35</v>
      </c>
      <c r="D50" s="151"/>
      <c r="E50" s="100">
        <v>13000</v>
      </c>
      <c r="F50" s="97">
        <f t="shared" si="2"/>
        <v>0</v>
      </c>
      <c r="G50" s="165"/>
      <c r="H50" s="101" t="s">
        <v>998</v>
      </c>
      <c r="I50" s="101" t="str">
        <f>VLOOKUP(H50,Presupuesto!$B$11:$C$565,2,0)</f>
        <v>EQUIPO DE TRANSPORTE TRACCION Y ELEVACION</v>
      </c>
      <c r="J50" s="98" t="str">
        <f t="shared" si="3"/>
        <v>Posgrado</v>
      </c>
      <c r="K50" s="98" t="s">
        <v>393</v>
      </c>
      <c r="L50" s="98"/>
    </row>
    <row r="51" spans="3:12" x14ac:dyDescent="0.25">
      <c r="C51" s="99" t="s">
        <v>76</v>
      </c>
      <c r="D51" s="151"/>
      <c r="E51" s="100">
        <v>15000</v>
      </c>
      <c r="F51" s="97">
        <f t="shared" si="2"/>
        <v>0</v>
      </c>
      <c r="G51" s="165"/>
      <c r="H51" s="101" t="s">
        <v>998</v>
      </c>
      <c r="I51" s="101" t="str">
        <f>VLOOKUP(H51,Presupuesto!$B$11:$C$565,2,0)</f>
        <v>EQUIPO DE TRANSPORTE TRACCION Y ELEVACION</v>
      </c>
      <c r="J51" s="98" t="str">
        <f t="shared" si="3"/>
        <v>Posgrado</v>
      </c>
      <c r="K51" s="98" t="s">
        <v>393</v>
      </c>
      <c r="L51" s="98"/>
    </row>
    <row r="52" spans="3:12" x14ac:dyDescent="0.25">
      <c r="C52" s="99" t="s">
        <v>77</v>
      </c>
      <c r="D52" s="151"/>
      <c r="E52" s="100">
        <v>10000</v>
      </c>
      <c r="F52" s="97">
        <f t="shared" si="2"/>
        <v>0</v>
      </c>
      <c r="G52" s="165"/>
      <c r="H52" s="101" t="s">
        <v>998</v>
      </c>
      <c r="I52" s="101" t="str">
        <f>VLOOKUP(H52,Presupuesto!$B$11:$C$565,2,0)</f>
        <v>EQUIPO DE TRANSPORTE TRACCION Y ELEVACION</v>
      </c>
      <c r="J52" s="98" t="str">
        <f t="shared" si="3"/>
        <v>Posgrado</v>
      </c>
      <c r="K52" s="98" t="s">
        <v>401</v>
      </c>
      <c r="L52" s="98"/>
    </row>
    <row r="53" spans="3:12" x14ac:dyDescent="0.25">
      <c r="C53" s="99" t="s">
        <v>78</v>
      </c>
      <c r="D53" s="151"/>
      <c r="E53" s="100">
        <v>10000</v>
      </c>
      <c r="F53" s="97">
        <f t="shared" si="2"/>
        <v>0</v>
      </c>
      <c r="G53" s="165"/>
      <c r="H53" s="101" t="s">
        <v>1044</v>
      </c>
      <c r="I53" s="101" t="str">
        <f>VLOOKUP(H53,Presupuesto!$B$11:$C$565,2,0)</f>
        <v>APLICACIONES INFORMATICAS</v>
      </c>
      <c r="J53" s="98" t="str">
        <f t="shared" si="3"/>
        <v>Posgrado</v>
      </c>
      <c r="K53" s="98" t="s">
        <v>397</v>
      </c>
      <c r="L53" s="98"/>
    </row>
    <row r="54" spans="3:12" x14ac:dyDescent="0.25">
      <c r="C54" s="109" t="s">
        <v>79</v>
      </c>
      <c r="D54" s="151"/>
      <c r="E54" s="100">
        <v>2000</v>
      </c>
      <c r="F54" s="97">
        <f t="shared" si="2"/>
        <v>0</v>
      </c>
      <c r="G54" s="165"/>
      <c r="H54" s="110" t="s">
        <v>1012</v>
      </c>
      <c r="I54" s="110" t="str">
        <f>VLOOKUP(H54,Presupuesto!$B$11:$C$565,2,0)</f>
        <v>EQUIPO DE COMPUTACION</v>
      </c>
      <c r="J54" s="98" t="str">
        <f t="shared" si="3"/>
        <v>Posgrado</v>
      </c>
      <c r="K54" s="98" t="s">
        <v>393</v>
      </c>
      <c r="L54" s="98"/>
    </row>
    <row r="55" spans="3:12" x14ac:dyDescent="0.25">
      <c r="C55" s="109" t="s">
        <v>1471</v>
      </c>
      <c r="D55" s="151"/>
      <c r="E55" s="100">
        <v>1500</v>
      </c>
      <c r="F55" s="97">
        <f t="shared" si="2"/>
        <v>0</v>
      </c>
      <c r="G55" s="165"/>
      <c r="H55" s="110" t="s">
        <v>944</v>
      </c>
      <c r="I55" s="110" t="str">
        <f>VLOOKUP(H55,Presupuesto!$B$11:$C$565,2,0)</f>
        <v>UTILES Y MATERIALES ELECTRICOS</v>
      </c>
      <c r="J55" s="98" t="str">
        <f t="shared" si="3"/>
        <v>Posgrado</v>
      </c>
      <c r="K55" s="98" t="s">
        <v>393</v>
      </c>
      <c r="L55" s="98"/>
    </row>
    <row r="56" spans="3:12" x14ac:dyDescent="0.25">
      <c r="C56" s="109" t="s">
        <v>80</v>
      </c>
      <c r="D56" s="151"/>
      <c r="E56" s="100">
        <v>1500</v>
      </c>
      <c r="F56" s="97">
        <f t="shared" si="2"/>
        <v>0</v>
      </c>
      <c r="G56" s="165"/>
      <c r="H56" s="110" t="s">
        <v>1012</v>
      </c>
      <c r="I56" s="110" t="str">
        <f>VLOOKUP(H56,Presupuesto!$B$11:$C$565,2,0)</f>
        <v>EQUIPO DE COMPUTACION</v>
      </c>
      <c r="J56" s="98" t="str">
        <f t="shared" si="3"/>
        <v>Posgrado</v>
      </c>
      <c r="K56" s="98" t="s">
        <v>393</v>
      </c>
      <c r="L56" s="98"/>
    </row>
    <row r="57" spans="3:12" x14ac:dyDescent="0.25">
      <c r="C57" s="109" t="s">
        <v>81</v>
      </c>
      <c r="D57" s="151"/>
      <c r="E57" s="100">
        <v>500</v>
      </c>
      <c r="F57" s="97">
        <f t="shared" si="2"/>
        <v>0</v>
      </c>
      <c r="G57" s="165"/>
      <c r="H57" s="110" t="s">
        <v>953</v>
      </c>
      <c r="I57" s="110" t="str">
        <f>VLOOKUP(H57,Presupuesto!$B$11:$C$565,2,0)</f>
        <v>OTROS RESPUESTOS Y ACCESORIOS MENORES</v>
      </c>
      <c r="J57" s="98" t="str">
        <f t="shared" si="3"/>
        <v>Posgrado</v>
      </c>
      <c r="K57" s="98" t="s">
        <v>393</v>
      </c>
      <c r="L57" s="98"/>
    </row>
    <row r="58" spans="3:12" ht="15.75" thickBot="1" x14ac:dyDescent="0.3">
      <c r="C58" s="102" t="s">
        <v>82</v>
      </c>
      <c r="D58" s="159"/>
      <c r="E58" s="104">
        <v>20</v>
      </c>
      <c r="F58" s="105">
        <f t="shared" si="2"/>
        <v>0</v>
      </c>
      <c r="G58" s="162"/>
      <c r="H58" s="106" t="s">
        <v>953</v>
      </c>
      <c r="I58" s="106" t="str">
        <f>VLOOKUP(H58,Presupuesto!$B$11:$C$565,2,0)</f>
        <v>OTROS RESPUESTOS Y ACCESORIOS MENORES</v>
      </c>
      <c r="J58" s="106" t="str">
        <f t="shared" si="3"/>
        <v>Posgrado</v>
      </c>
      <c r="K58" s="124" t="s">
        <v>392</v>
      </c>
      <c r="L58" s="124"/>
    </row>
    <row r="60" spans="3:12" ht="15.75" thickBot="1" x14ac:dyDescent="0.3"/>
    <row r="61" spans="3:12" ht="15.75" thickBot="1" x14ac:dyDescent="0.3">
      <c r="C61" s="29" t="s">
        <v>43</v>
      </c>
      <c r="D61" s="108">
        <f>SUM(F68:F81)</f>
        <v>0</v>
      </c>
      <c r="F61" s="70"/>
      <c r="G61" s="79"/>
      <c r="H61" s="70"/>
      <c r="I61" s="70"/>
    </row>
    <row r="62" spans="3:12" x14ac:dyDescent="0.25">
      <c r="C62" s="70"/>
      <c r="D62" s="31"/>
      <c r="E62" s="93"/>
      <c r="F62" s="93"/>
      <c r="G62" s="93"/>
      <c r="H62" s="76"/>
      <c r="I62" s="76"/>
      <c r="J62" s="76"/>
      <c r="K62" s="112"/>
    </row>
    <row r="63" spans="3:12" x14ac:dyDescent="0.25">
      <c r="C63" s="70"/>
      <c r="D63" s="31"/>
      <c r="E63" s="93"/>
      <c r="F63" s="93"/>
      <c r="G63" s="93"/>
      <c r="H63" s="76"/>
      <c r="I63" s="76"/>
      <c r="J63" s="76"/>
      <c r="K63" s="112"/>
    </row>
    <row r="64" spans="3:12" ht="15.75" x14ac:dyDescent="0.25">
      <c r="C64" s="202" t="s">
        <v>390</v>
      </c>
      <c r="D64" s="368"/>
      <c r="E64" s="93"/>
      <c r="F64" s="93"/>
      <c r="G64" s="93"/>
      <c r="H64" s="76"/>
      <c r="I64" s="76"/>
      <c r="J64" s="76"/>
      <c r="K64" s="112"/>
    </row>
    <row r="65" spans="3:12" ht="18.75" x14ac:dyDescent="0.25">
      <c r="C65" s="210" t="e">
        <f>IFERROR(VLOOKUP(D64,'1. Desarrollo e Innov. Curricu.'!$F:$G,2,FALSE),IFERROR(VLOOKUP(D64,'2. Investigación Científica'!$F:$G,2,FALSE),IFERROR(VLOOKUP(D64,'3. Vinculación Univ. Sociedad'!$F:$G,2,FALSE),IFERROR(VLOOKUP(D64,'4. Docencia y Profesorado Univ.'!$F:$G,2,FALSE),IFERROR(VLOOKUP(D64,'5. Estudiantes y Graduados'!$F:$G,2,FALSE),IFERROR(VLOOKUP(D64,'11. Gestion Administrativa'!$F:$G,2,FALSE),IFERROR(VLOOKUP(D64,'13. Gestión Académica'!$F:$G,2,FALSE),IFERROR(VLOOKUP(D64,'9. Asegura. de la Calid. y M'!$F:$G,2,FALSE),IFERROR(VLOOKUP(D64,'6. Gestión del Conocimiento'!$F:$G,2,FALSE),IFERROR(VLOOKUP(D64,'15. Gobernabilidad y Proceso...'!$G:$H,2,FALSE),IFERROR(VLOOKUP(D64,'12. Gestión del Talento Humano'!$F:$G,2,FALSE),IFERROR(VLOOKUP(D64,'14. Internacional... de la E.S.'!$F:$G,2,FALSE),IFERROR(VLOOKUP(D64,'10. Posgrado'!$F:$G,2,FALSE),IFERROR(VLOOKUP(D64,'16. Desa. del Sistema Educ.Sup.'!$F:$G,2,FALSE),IFERROR(VLOOKUP(D64,'8. Cultura de Inno. Insti...'!$F:$G,2,FALSE),VLOOKUP(D64,'7. Lo Esencial de la Reforma U.'!$G:$H,2,0))))))))))))))))</f>
        <v>#N/A</v>
      </c>
      <c r="D65" s="31"/>
      <c r="E65" s="93"/>
      <c r="F65" s="93"/>
      <c r="G65" s="93"/>
      <c r="H65" s="76"/>
      <c r="I65" s="76"/>
      <c r="J65" s="76"/>
      <c r="K65" s="112"/>
    </row>
    <row r="66" spans="3:12" x14ac:dyDescent="0.25">
      <c r="F66" s="93"/>
      <c r="G66" s="76"/>
      <c r="H66" s="76"/>
      <c r="I66" s="76"/>
    </row>
    <row r="67" spans="3:12" ht="30.75" thickBot="1" x14ac:dyDescent="0.3">
      <c r="C67" s="149" t="s">
        <v>44</v>
      </c>
      <c r="D67" s="149" t="s">
        <v>55</v>
      </c>
      <c r="E67" s="149" t="s">
        <v>57</v>
      </c>
      <c r="F67" s="150" t="s">
        <v>27</v>
      </c>
      <c r="G67" s="150" t="s">
        <v>129</v>
      </c>
      <c r="H67" s="149" t="s">
        <v>46</v>
      </c>
      <c r="I67" s="149" t="s">
        <v>130</v>
      </c>
      <c r="J67" s="149" t="s">
        <v>408</v>
      </c>
      <c r="K67" s="149" t="s">
        <v>409</v>
      </c>
      <c r="L67" s="149" t="s">
        <v>462</v>
      </c>
    </row>
    <row r="68" spans="3:12" ht="15.75" thickBot="1" x14ac:dyDescent="0.3">
      <c r="C68" s="304" t="s">
        <v>1337</v>
      </c>
      <c r="D68" s="158"/>
      <c r="E68" s="96">
        <f>HLOOKUP($C68,$CB$2:$CE$3,2,0)</f>
        <v>15000</v>
      </c>
      <c r="F68" s="97">
        <f>D68*E68</f>
        <v>0</v>
      </c>
      <c r="G68" s="165"/>
      <c r="H68" s="98" t="s">
        <v>1012</v>
      </c>
      <c r="I68" s="98" t="str">
        <f>VLOOKUP(H68,Presupuesto!$B$11:$C$565,2,0)</f>
        <v>EQUIPO DE COMPUTACION</v>
      </c>
      <c r="J68" s="218" t="s">
        <v>1443</v>
      </c>
      <c r="K68" s="98" t="s">
        <v>392</v>
      </c>
      <c r="L68" s="98"/>
    </row>
    <row r="69" spans="3:12" x14ac:dyDescent="0.25">
      <c r="C69" s="304" t="s">
        <v>1335</v>
      </c>
      <c r="D69" s="151"/>
      <c r="E69" s="96">
        <f>HLOOKUP($C69,$CB$2:$CE$3,2,0)</f>
        <v>35000</v>
      </c>
      <c r="F69" s="97">
        <f>D69*E69</f>
        <v>0</v>
      </c>
      <c r="G69" s="165"/>
      <c r="H69" s="101" t="s">
        <v>1012</v>
      </c>
      <c r="I69" s="101" t="str">
        <f>VLOOKUP(H69,Presupuesto!$B$11:$C$565,2,0)</f>
        <v>EQUIPO DE COMPUTACION</v>
      </c>
      <c r="J69" s="98" t="str">
        <f>$J$68</f>
        <v>Posgrado</v>
      </c>
      <c r="K69" s="98" t="s">
        <v>410</v>
      </c>
      <c r="L69" s="98"/>
    </row>
    <row r="70" spans="3:12" x14ac:dyDescent="0.25">
      <c r="C70" s="99" t="s">
        <v>73</v>
      </c>
      <c r="D70" s="151"/>
      <c r="E70" s="100">
        <v>4000</v>
      </c>
      <c r="F70" s="97">
        <f t="shared" ref="F70:F81" si="4">D70*E70</f>
        <v>0</v>
      </c>
      <c r="G70" s="165"/>
      <c r="H70" s="101" t="s">
        <v>984</v>
      </c>
      <c r="I70" s="101" t="str">
        <f>VLOOKUP(H70,Presupuesto!$B$11:$C$565,2,0)</f>
        <v>EQUIPOS VARIOS DE OFICINA</v>
      </c>
      <c r="J70" s="98" t="str">
        <f t="shared" ref="J70:J81" si="5">$J$68</f>
        <v>Posgrado</v>
      </c>
      <c r="K70" s="98" t="s">
        <v>393</v>
      </c>
      <c r="L70" s="98"/>
    </row>
    <row r="71" spans="3:12" x14ac:dyDescent="0.25">
      <c r="C71" s="99" t="s">
        <v>74</v>
      </c>
      <c r="D71" s="151"/>
      <c r="E71" s="100">
        <v>8000</v>
      </c>
      <c r="F71" s="97">
        <f t="shared" si="4"/>
        <v>0</v>
      </c>
      <c r="G71" s="165"/>
      <c r="H71" s="101" t="s">
        <v>1012</v>
      </c>
      <c r="I71" s="101" t="str">
        <f>VLOOKUP(H71,Presupuesto!$B$11:$C$565,2,0)</f>
        <v>EQUIPO DE COMPUTACION</v>
      </c>
      <c r="J71" s="98" t="str">
        <f t="shared" si="5"/>
        <v>Posgrado</v>
      </c>
      <c r="K71" s="98" t="s">
        <v>393</v>
      </c>
      <c r="L71" s="98"/>
    </row>
    <row r="72" spans="3:12" x14ac:dyDescent="0.25">
      <c r="C72" s="99" t="s">
        <v>75</v>
      </c>
      <c r="D72" s="151"/>
      <c r="E72" s="100">
        <v>5000</v>
      </c>
      <c r="F72" s="97">
        <f t="shared" si="4"/>
        <v>0</v>
      </c>
      <c r="G72" s="165"/>
      <c r="H72" s="101" t="s">
        <v>1012</v>
      </c>
      <c r="I72" s="101" t="str">
        <f>VLOOKUP(H72,Presupuesto!$B$11:$C$565,2,0)</f>
        <v>EQUIPO DE COMPUTACION</v>
      </c>
      <c r="J72" s="98" t="str">
        <f t="shared" si="5"/>
        <v>Posgrado</v>
      </c>
      <c r="K72" s="98" t="s">
        <v>393</v>
      </c>
      <c r="L72" s="98"/>
    </row>
    <row r="73" spans="3:12" x14ac:dyDescent="0.25">
      <c r="C73" s="99" t="s">
        <v>35</v>
      </c>
      <c r="D73" s="151"/>
      <c r="E73" s="100">
        <v>13000</v>
      </c>
      <c r="F73" s="97">
        <f t="shared" si="4"/>
        <v>0</v>
      </c>
      <c r="G73" s="165"/>
      <c r="H73" s="101" t="s">
        <v>998</v>
      </c>
      <c r="I73" s="101" t="str">
        <f>VLOOKUP(H73,Presupuesto!$B$11:$C$565,2,0)</f>
        <v>EQUIPO DE TRANSPORTE TRACCION Y ELEVACION</v>
      </c>
      <c r="J73" s="98" t="str">
        <f t="shared" si="5"/>
        <v>Posgrado</v>
      </c>
      <c r="K73" s="98" t="s">
        <v>393</v>
      </c>
      <c r="L73" s="98"/>
    </row>
    <row r="74" spans="3:12" x14ac:dyDescent="0.25">
      <c r="C74" s="99" t="s">
        <v>76</v>
      </c>
      <c r="D74" s="151"/>
      <c r="E74" s="100">
        <v>15000</v>
      </c>
      <c r="F74" s="97">
        <f t="shared" si="4"/>
        <v>0</v>
      </c>
      <c r="G74" s="165"/>
      <c r="H74" s="101" t="s">
        <v>998</v>
      </c>
      <c r="I74" s="101" t="str">
        <f>VLOOKUP(H74,Presupuesto!$B$11:$C$565,2,0)</f>
        <v>EQUIPO DE TRANSPORTE TRACCION Y ELEVACION</v>
      </c>
      <c r="J74" s="98" t="str">
        <f t="shared" si="5"/>
        <v>Posgrado</v>
      </c>
      <c r="K74" s="98" t="s">
        <v>393</v>
      </c>
      <c r="L74" s="98"/>
    </row>
    <row r="75" spans="3:12" x14ac:dyDescent="0.25">
      <c r="C75" s="99" t="s">
        <v>77</v>
      </c>
      <c r="D75" s="151"/>
      <c r="E75" s="100">
        <v>10000</v>
      </c>
      <c r="F75" s="97">
        <f t="shared" si="4"/>
        <v>0</v>
      </c>
      <c r="G75" s="165"/>
      <c r="H75" s="101" t="s">
        <v>998</v>
      </c>
      <c r="I75" s="101" t="str">
        <f>VLOOKUP(H75,Presupuesto!$B$11:$C$565,2,0)</f>
        <v>EQUIPO DE TRANSPORTE TRACCION Y ELEVACION</v>
      </c>
      <c r="J75" s="98" t="str">
        <f t="shared" si="5"/>
        <v>Posgrado</v>
      </c>
      <c r="K75" s="98" t="s">
        <v>401</v>
      </c>
      <c r="L75" s="98"/>
    </row>
    <row r="76" spans="3:12" x14ac:dyDescent="0.25">
      <c r="C76" s="99" t="s">
        <v>78</v>
      </c>
      <c r="D76" s="151"/>
      <c r="E76" s="100">
        <v>10000</v>
      </c>
      <c r="F76" s="97">
        <f t="shared" si="4"/>
        <v>0</v>
      </c>
      <c r="G76" s="165"/>
      <c r="H76" s="101" t="s">
        <v>1044</v>
      </c>
      <c r="I76" s="101" t="str">
        <f>VLOOKUP(H76,Presupuesto!$B$11:$C$565,2,0)</f>
        <v>APLICACIONES INFORMATICAS</v>
      </c>
      <c r="J76" s="98" t="str">
        <f t="shared" si="5"/>
        <v>Posgrado</v>
      </c>
      <c r="K76" s="98" t="s">
        <v>397</v>
      </c>
      <c r="L76" s="98"/>
    </row>
    <row r="77" spans="3:12" x14ac:dyDescent="0.25">
      <c r="C77" s="109" t="s">
        <v>79</v>
      </c>
      <c r="D77" s="151"/>
      <c r="E77" s="100">
        <v>2000</v>
      </c>
      <c r="F77" s="97">
        <f t="shared" si="4"/>
        <v>0</v>
      </c>
      <c r="G77" s="165"/>
      <c r="H77" s="110" t="s">
        <v>1012</v>
      </c>
      <c r="I77" s="110" t="str">
        <f>VLOOKUP(H77,Presupuesto!$B$11:$C$565,2,0)</f>
        <v>EQUIPO DE COMPUTACION</v>
      </c>
      <c r="J77" s="98" t="str">
        <f t="shared" si="5"/>
        <v>Posgrado</v>
      </c>
      <c r="K77" s="98" t="s">
        <v>393</v>
      </c>
      <c r="L77" s="98"/>
    </row>
    <row r="78" spans="3:12" x14ac:dyDescent="0.25">
      <c r="C78" s="109" t="s">
        <v>1471</v>
      </c>
      <c r="D78" s="151"/>
      <c r="E78" s="100">
        <v>1500</v>
      </c>
      <c r="F78" s="97">
        <f t="shared" si="4"/>
        <v>0</v>
      </c>
      <c r="G78" s="165"/>
      <c r="H78" s="110" t="s">
        <v>944</v>
      </c>
      <c r="I78" s="110" t="str">
        <f>VLOOKUP(H78,Presupuesto!$B$11:$C$565,2,0)</f>
        <v>UTILES Y MATERIALES ELECTRICOS</v>
      </c>
      <c r="J78" s="98" t="str">
        <f t="shared" si="5"/>
        <v>Posgrado</v>
      </c>
      <c r="K78" s="98" t="s">
        <v>393</v>
      </c>
      <c r="L78" s="98"/>
    </row>
    <row r="79" spans="3:12" x14ac:dyDescent="0.25">
      <c r="C79" s="109" t="s">
        <v>80</v>
      </c>
      <c r="D79" s="151"/>
      <c r="E79" s="100">
        <v>1500</v>
      </c>
      <c r="F79" s="97">
        <f t="shared" si="4"/>
        <v>0</v>
      </c>
      <c r="G79" s="165"/>
      <c r="H79" s="110" t="s">
        <v>1012</v>
      </c>
      <c r="I79" s="110" t="str">
        <f>VLOOKUP(H79,Presupuesto!$B$11:$C$565,2,0)</f>
        <v>EQUIPO DE COMPUTACION</v>
      </c>
      <c r="J79" s="98" t="str">
        <f t="shared" si="5"/>
        <v>Posgrado</v>
      </c>
      <c r="K79" s="98" t="s">
        <v>393</v>
      </c>
      <c r="L79" s="98"/>
    </row>
    <row r="80" spans="3:12" x14ac:dyDescent="0.25">
      <c r="C80" s="109" t="s">
        <v>81</v>
      </c>
      <c r="D80" s="151"/>
      <c r="E80" s="100">
        <v>500</v>
      </c>
      <c r="F80" s="97">
        <f t="shared" si="4"/>
        <v>0</v>
      </c>
      <c r="G80" s="165"/>
      <c r="H80" s="110" t="s">
        <v>953</v>
      </c>
      <c r="I80" s="110" t="str">
        <f>VLOOKUP(H80,Presupuesto!$B$11:$C$565,2,0)</f>
        <v>OTROS RESPUESTOS Y ACCESORIOS MENORES</v>
      </c>
      <c r="J80" s="98" t="str">
        <f t="shared" si="5"/>
        <v>Posgrado</v>
      </c>
      <c r="K80" s="98" t="s">
        <v>393</v>
      </c>
      <c r="L80" s="98"/>
    </row>
    <row r="81" spans="3:12" ht="15.75" thickBot="1" x14ac:dyDescent="0.3">
      <c r="C81" s="102" t="s">
        <v>82</v>
      </c>
      <c r="D81" s="159"/>
      <c r="E81" s="104">
        <v>20</v>
      </c>
      <c r="F81" s="105">
        <f t="shared" si="4"/>
        <v>0</v>
      </c>
      <c r="G81" s="162"/>
      <c r="H81" s="106" t="s">
        <v>953</v>
      </c>
      <c r="I81" s="106" t="str">
        <f>VLOOKUP(H81,Presupuesto!$B$11:$C$565,2,0)</f>
        <v>OTROS RESPUESTOS Y ACCESORIOS MENORES</v>
      </c>
      <c r="J81" s="106" t="str">
        <f t="shared" si="5"/>
        <v>Posgrado</v>
      </c>
      <c r="K81" s="124" t="s">
        <v>392</v>
      </c>
      <c r="L81" s="124"/>
    </row>
    <row r="82" spans="3:12" x14ac:dyDescent="0.25">
      <c r="F82" s="93"/>
      <c r="G82" s="76"/>
      <c r="H82" s="76"/>
      <c r="I82" s="76"/>
    </row>
    <row r="83" spans="3:12" ht="15.75" thickBot="1" x14ac:dyDescent="0.3"/>
    <row r="84" spans="3:12" ht="15.75" thickBot="1" x14ac:dyDescent="0.3">
      <c r="C84" s="29" t="s">
        <v>43</v>
      </c>
      <c r="D84" s="108">
        <f>SUM(F91:F104)</f>
        <v>0</v>
      </c>
      <c r="F84" s="70"/>
      <c r="G84" s="79"/>
      <c r="H84" s="70"/>
      <c r="I84" s="70"/>
    </row>
    <row r="85" spans="3:12" x14ac:dyDescent="0.25">
      <c r="C85" s="70"/>
      <c r="D85" s="31"/>
      <c r="E85" s="93"/>
      <c r="F85" s="93"/>
      <c r="G85" s="93"/>
      <c r="H85" s="76"/>
      <c r="I85" s="76"/>
      <c r="J85" s="76"/>
      <c r="K85" s="112"/>
    </row>
    <row r="86" spans="3:12" x14ac:dyDescent="0.25">
      <c r="C86" s="70"/>
      <c r="D86" s="31"/>
      <c r="E86" s="93"/>
      <c r="F86" s="93"/>
      <c r="G86" s="93"/>
      <c r="H86" s="76"/>
      <c r="I86" s="76"/>
      <c r="J86" s="76"/>
      <c r="K86" s="112"/>
    </row>
    <row r="87" spans="3:12" ht="15.75" x14ac:dyDescent="0.25">
      <c r="C87" s="202" t="s">
        <v>390</v>
      </c>
      <c r="D87" s="368"/>
      <c r="E87" s="93"/>
      <c r="F87" s="93"/>
      <c r="G87" s="93"/>
      <c r="H87" s="76"/>
      <c r="I87" s="76"/>
      <c r="J87" s="76"/>
      <c r="K87" s="112"/>
    </row>
    <row r="88" spans="3:12" ht="18.75" x14ac:dyDescent="0.25">
      <c r="C88" s="210" t="e">
        <f>IFERROR(VLOOKUP(D87,'1. Desarrollo e Innov. Curricu.'!$F:$G,2,FALSE),IFERROR(VLOOKUP(D87,'2. Investigación Científica'!$F:$G,2,FALSE),IFERROR(VLOOKUP(D87,'3. Vinculación Univ. Sociedad'!$F:$G,2,FALSE),IFERROR(VLOOKUP(D87,'4. Docencia y Profesorado Univ.'!$F:$G,2,FALSE),IFERROR(VLOOKUP(D87,'5. Estudiantes y Graduados'!$F:$G,2,FALSE),IFERROR(VLOOKUP(D87,'11. Gestion Administrativa'!$F:$G,2,FALSE),IFERROR(VLOOKUP(D87,'13. Gestión Académica'!$F:$G,2,FALSE),IFERROR(VLOOKUP(D87,'9. Asegura. de la Calid. y M'!$F:$G,2,FALSE),IFERROR(VLOOKUP(D87,'6. Gestión del Conocimiento'!$F:$G,2,FALSE),IFERROR(VLOOKUP(D87,'15. Gobernabilidad y Proceso...'!$G:$H,2,FALSE),IFERROR(VLOOKUP(D87,'12. Gestión del Talento Humano'!$F:$G,2,FALSE),IFERROR(VLOOKUP(D87,'14. Internacional... de la E.S.'!$F:$G,2,FALSE),IFERROR(VLOOKUP(D87,'10. Posgrado'!$F:$G,2,FALSE),IFERROR(VLOOKUP(D87,'16. Desa. del Sistema Educ.Sup.'!$F:$G,2,FALSE),IFERROR(VLOOKUP(D87,'8. Cultura de Inno. Insti...'!$F:$G,2,FALSE),VLOOKUP(D87,'7. Lo Esencial de la Reforma U.'!$G:$H,2,0))))))))))))))))</f>
        <v>#N/A</v>
      </c>
      <c r="D88" s="31"/>
      <c r="E88" s="93"/>
      <c r="F88" s="93"/>
      <c r="G88" s="93"/>
      <c r="H88" s="76"/>
      <c r="I88" s="76"/>
      <c r="J88" s="76"/>
      <c r="K88" s="112"/>
    </row>
    <row r="89" spans="3:12" x14ac:dyDescent="0.25">
      <c r="F89" s="93"/>
      <c r="G89" s="76"/>
      <c r="H89" s="76"/>
      <c r="I89" s="76"/>
    </row>
    <row r="90" spans="3:12" ht="30.75" thickBot="1" x14ac:dyDescent="0.3">
      <c r="C90" s="149" t="s">
        <v>44</v>
      </c>
      <c r="D90" s="149" t="s">
        <v>55</v>
      </c>
      <c r="E90" s="149" t="s">
        <v>57</v>
      </c>
      <c r="F90" s="150" t="s">
        <v>27</v>
      </c>
      <c r="G90" s="150" t="s">
        <v>129</v>
      </c>
      <c r="H90" s="149" t="s">
        <v>46</v>
      </c>
      <c r="I90" s="149" t="s">
        <v>130</v>
      </c>
      <c r="J90" s="149" t="s">
        <v>408</v>
      </c>
      <c r="K90" s="149" t="s">
        <v>409</v>
      </c>
      <c r="L90" s="149" t="s">
        <v>462</v>
      </c>
    </row>
    <row r="91" spans="3:12" ht="15.75" thickBot="1" x14ac:dyDescent="0.3">
      <c r="C91" s="304" t="s">
        <v>1337</v>
      </c>
      <c r="D91" s="158"/>
      <c r="E91" s="96">
        <f>HLOOKUP($C91,$CB$2:$CE$3,2,0)</f>
        <v>15000</v>
      </c>
      <c r="F91" s="97">
        <f>D91*E91</f>
        <v>0</v>
      </c>
      <c r="G91" s="165"/>
      <c r="H91" s="98" t="s">
        <v>1012</v>
      </c>
      <c r="I91" s="98" t="str">
        <f>VLOOKUP(H91,Presupuesto!$B$11:$C$565,2,0)</f>
        <v>EQUIPO DE COMPUTACION</v>
      </c>
      <c r="J91" s="218" t="s">
        <v>1443</v>
      </c>
      <c r="K91" s="98" t="s">
        <v>392</v>
      </c>
      <c r="L91" s="98"/>
    </row>
    <row r="92" spans="3:12" x14ac:dyDescent="0.25">
      <c r="C92" s="304" t="s">
        <v>1335</v>
      </c>
      <c r="D92" s="151"/>
      <c r="E92" s="96">
        <f>HLOOKUP($C92,$CB$2:$CE$3,2,0)</f>
        <v>35000</v>
      </c>
      <c r="F92" s="97">
        <f>D92*E92</f>
        <v>0</v>
      </c>
      <c r="G92" s="165"/>
      <c r="H92" s="101" t="s">
        <v>1012</v>
      </c>
      <c r="I92" s="101" t="str">
        <f>VLOOKUP(H92,Presupuesto!$B$11:$C$565,2,0)</f>
        <v>EQUIPO DE COMPUTACION</v>
      </c>
      <c r="J92" s="98" t="str">
        <f>$J$91</f>
        <v>Posgrado</v>
      </c>
      <c r="K92" s="98" t="s">
        <v>410</v>
      </c>
      <c r="L92" s="98"/>
    </row>
    <row r="93" spans="3:12" x14ac:dyDescent="0.25">
      <c r="C93" s="99" t="s">
        <v>73</v>
      </c>
      <c r="D93" s="151"/>
      <c r="E93" s="100">
        <v>4000</v>
      </c>
      <c r="F93" s="97">
        <f t="shared" ref="F93:F104" si="6">D93*E93</f>
        <v>0</v>
      </c>
      <c r="G93" s="165"/>
      <c r="H93" s="101" t="s">
        <v>984</v>
      </c>
      <c r="I93" s="101" t="str">
        <f>VLOOKUP(H93,Presupuesto!$B$11:$C$565,2,0)</f>
        <v>EQUIPOS VARIOS DE OFICINA</v>
      </c>
      <c r="J93" s="98" t="str">
        <f t="shared" ref="J93:J104" si="7">$J$91</f>
        <v>Posgrado</v>
      </c>
      <c r="K93" s="98" t="s">
        <v>393</v>
      </c>
      <c r="L93" s="98"/>
    </row>
    <row r="94" spans="3:12" x14ac:dyDescent="0.25">
      <c r="C94" s="99" t="s">
        <v>74</v>
      </c>
      <c r="D94" s="151"/>
      <c r="E94" s="100">
        <v>8000</v>
      </c>
      <c r="F94" s="97">
        <f t="shared" si="6"/>
        <v>0</v>
      </c>
      <c r="G94" s="165"/>
      <c r="H94" s="101" t="s">
        <v>1012</v>
      </c>
      <c r="I94" s="101" t="str">
        <f>VLOOKUP(H94,Presupuesto!$B$11:$C$565,2,0)</f>
        <v>EQUIPO DE COMPUTACION</v>
      </c>
      <c r="J94" s="98" t="str">
        <f t="shared" si="7"/>
        <v>Posgrado</v>
      </c>
      <c r="K94" s="98" t="s">
        <v>393</v>
      </c>
      <c r="L94" s="98"/>
    </row>
    <row r="95" spans="3:12" x14ac:dyDescent="0.25">
      <c r="C95" s="99" t="s">
        <v>75</v>
      </c>
      <c r="D95" s="151"/>
      <c r="E95" s="100">
        <v>5000</v>
      </c>
      <c r="F95" s="97">
        <f t="shared" si="6"/>
        <v>0</v>
      </c>
      <c r="G95" s="165"/>
      <c r="H95" s="101" t="s">
        <v>1012</v>
      </c>
      <c r="I95" s="101" t="str">
        <f>VLOOKUP(H95,Presupuesto!$B$11:$C$565,2,0)</f>
        <v>EQUIPO DE COMPUTACION</v>
      </c>
      <c r="J95" s="98" t="str">
        <f t="shared" si="7"/>
        <v>Posgrado</v>
      </c>
      <c r="K95" s="98" t="s">
        <v>393</v>
      </c>
      <c r="L95" s="98"/>
    </row>
    <row r="96" spans="3:12" x14ac:dyDescent="0.25">
      <c r="C96" s="99" t="s">
        <v>35</v>
      </c>
      <c r="D96" s="151"/>
      <c r="E96" s="100">
        <v>13000</v>
      </c>
      <c r="F96" s="97">
        <f t="shared" si="6"/>
        <v>0</v>
      </c>
      <c r="G96" s="165"/>
      <c r="H96" s="101" t="s">
        <v>998</v>
      </c>
      <c r="I96" s="101" t="str">
        <f>VLOOKUP(H96,Presupuesto!$B$11:$C$565,2,0)</f>
        <v>EQUIPO DE TRANSPORTE TRACCION Y ELEVACION</v>
      </c>
      <c r="J96" s="98" t="str">
        <f t="shared" si="7"/>
        <v>Posgrado</v>
      </c>
      <c r="K96" s="98" t="s">
        <v>393</v>
      </c>
      <c r="L96" s="98"/>
    </row>
    <row r="97" spans="3:12" x14ac:dyDescent="0.25">
      <c r="C97" s="99" t="s">
        <v>76</v>
      </c>
      <c r="D97" s="151"/>
      <c r="E97" s="100">
        <v>15000</v>
      </c>
      <c r="F97" s="97">
        <f t="shared" si="6"/>
        <v>0</v>
      </c>
      <c r="G97" s="165"/>
      <c r="H97" s="101" t="s">
        <v>998</v>
      </c>
      <c r="I97" s="101" t="str">
        <f>VLOOKUP(H97,Presupuesto!$B$11:$C$565,2,0)</f>
        <v>EQUIPO DE TRANSPORTE TRACCION Y ELEVACION</v>
      </c>
      <c r="J97" s="98" t="str">
        <f t="shared" si="7"/>
        <v>Posgrado</v>
      </c>
      <c r="K97" s="98" t="s">
        <v>393</v>
      </c>
      <c r="L97" s="98"/>
    </row>
    <row r="98" spans="3:12" x14ac:dyDescent="0.25">
      <c r="C98" s="99" t="s">
        <v>77</v>
      </c>
      <c r="D98" s="151"/>
      <c r="E98" s="100">
        <v>10000</v>
      </c>
      <c r="F98" s="97">
        <f t="shared" si="6"/>
        <v>0</v>
      </c>
      <c r="G98" s="165"/>
      <c r="H98" s="101" t="s">
        <v>998</v>
      </c>
      <c r="I98" s="101" t="str">
        <f>VLOOKUP(H98,Presupuesto!$B$11:$C$565,2,0)</f>
        <v>EQUIPO DE TRANSPORTE TRACCION Y ELEVACION</v>
      </c>
      <c r="J98" s="98" t="str">
        <f t="shared" si="7"/>
        <v>Posgrado</v>
      </c>
      <c r="K98" s="98" t="s">
        <v>401</v>
      </c>
      <c r="L98" s="98"/>
    </row>
    <row r="99" spans="3:12" x14ac:dyDescent="0.25">
      <c r="C99" s="99" t="s">
        <v>78</v>
      </c>
      <c r="D99" s="151"/>
      <c r="E99" s="100">
        <v>10000</v>
      </c>
      <c r="F99" s="97">
        <f t="shared" si="6"/>
        <v>0</v>
      </c>
      <c r="G99" s="165"/>
      <c r="H99" s="101" t="s">
        <v>1044</v>
      </c>
      <c r="I99" s="101" t="str">
        <f>VLOOKUP(H99,Presupuesto!$B$11:$C$565,2,0)</f>
        <v>APLICACIONES INFORMATICAS</v>
      </c>
      <c r="J99" s="98" t="str">
        <f t="shared" si="7"/>
        <v>Posgrado</v>
      </c>
      <c r="K99" s="98" t="s">
        <v>397</v>
      </c>
      <c r="L99" s="98"/>
    </row>
    <row r="100" spans="3:12" x14ac:dyDescent="0.25">
      <c r="C100" s="109" t="s">
        <v>79</v>
      </c>
      <c r="D100" s="151"/>
      <c r="E100" s="100">
        <v>2000</v>
      </c>
      <c r="F100" s="97">
        <f t="shared" si="6"/>
        <v>0</v>
      </c>
      <c r="G100" s="165"/>
      <c r="H100" s="110" t="s">
        <v>1012</v>
      </c>
      <c r="I100" s="110" t="str">
        <f>VLOOKUP(H100,Presupuesto!$B$11:$C$565,2,0)</f>
        <v>EQUIPO DE COMPUTACION</v>
      </c>
      <c r="J100" s="98" t="str">
        <f t="shared" si="7"/>
        <v>Posgrado</v>
      </c>
      <c r="K100" s="98" t="s">
        <v>393</v>
      </c>
      <c r="L100" s="98"/>
    </row>
    <row r="101" spans="3:12" x14ac:dyDescent="0.25">
      <c r="C101" s="109" t="s">
        <v>1471</v>
      </c>
      <c r="D101" s="151"/>
      <c r="E101" s="100">
        <v>1500</v>
      </c>
      <c r="F101" s="97">
        <f t="shared" si="6"/>
        <v>0</v>
      </c>
      <c r="G101" s="165"/>
      <c r="H101" s="110" t="s">
        <v>944</v>
      </c>
      <c r="I101" s="110" t="str">
        <f>VLOOKUP(H101,Presupuesto!$B$11:$C$565,2,0)</f>
        <v>UTILES Y MATERIALES ELECTRICOS</v>
      </c>
      <c r="J101" s="98" t="str">
        <f t="shared" si="7"/>
        <v>Posgrado</v>
      </c>
      <c r="K101" s="98" t="s">
        <v>393</v>
      </c>
      <c r="L101" s="98"/>
    </row>
    <row r="102" spans="3:12" x14ac:dyDescent="0.25">
      <c r="C102" s="109" t="s">
        <v>80</v>
      </c>
      <c r="D102" s="151"/>
      <c r="E102" s="100">
        <v>1500</v>
      </c>
      <c r="F102" s="97">
        <f t="shared" si="6"/>
        <v>0</v>
      </c>
      <c r="G102" s="165"/>
      <c r="H102" s="110" t="s">
        <v>1012</v>
      </c>
      <c r="I102" s="110" t="str">
        <f>VLOOKUP(H102,Presupuesto!$B$11:$C$565,2,0)</f>
        <v>EQUIPO DE COMPUTACION</v>
      </c>
      <c r="J102" s="98" t="str">
        <f t="shared" si="7"/>
        <v>Posgrado</v>
      </c>
      <c r="K102" s="98" t="s">
        <v>393</v>
      </c>
      <c r="L102" s="98"/>
    </row>
    <row r="103" spans="3:12" x14ac:dyDescent="0.25">
      <c r="C103" s="109" t="s">
        <v>81</v>
      </c>
      <c r="D103" s="151"/>
      <c r="E103" s="100">
        <v>500</v>
      </c>
      <c r="F103" s="97">
        <f t="shared" si="6"/>
        <v>0</v>
      </c>
      <c r="G103" s="165"/>
      <c r="H103" s="110" t="s">
        <v>953</v>
      </c>
      <c r="I103" s="110" t="str">
        <f>VLOOKUP(H103,Presupuesto!$B$11:$C$565,2,0)</f>
        <v>OTROS RESPUESTOS Y ACCESORIOS MENORES</v>
      </c>
      <c r="J103" s="98" t="str">
        <f t="shared" si="7"/>
        <v>Posgrado</v>
      </c>
      <c r="K103" s="98" t="s">
        <v>393</v>
      </c>
      <c r="L103" s="98"/>
    </row>
    <row r="104" spans="3:12" ht="15.75" thickBot="1" x14ac:dyDescent="0.3">
      <c r="C104" s="102" t="s">
        <v>82</v>
      </c>
      <c r="D104" s="159"/>
      <c r="E104" s="104">
        <v>20</v>
      </c>
      <c r="F104" s="105">
        <f t="shared" si="6"/>
        <v>0</v>
      </c>
      <c r="G104" s="162"/>
      <c r="H104" s="106" t="s">
        <v>953</v>
      </c>
      <c r="I104" s="106" t="str">
        <f>VLOOKUP(H104,Presupuesto!$B$11:$C$565,2,0)</f>
        <v>OTROS RESPUESTOS Y ACCESORIOS MENORES</v>
      </c>
      <c r="J104" s="106" t="str">
        <f t="shared" si="7"/>
        <v>Posgrado</v>
      </c>
      <c r="K104" s="124" t="s">
        <v>392</v>
      </c>
      <c r="L104" s="124"/>
    </row>
    <row r="106" spans="3:12" ht="15.75" thickBot="1" x14ac:dyDescent="0.3"/>
    <row r="107" spans="3:12" ht="15.75" thickBot="1" x14ac:dyDescent="0.3">
      <c r="C107" s="29" t="s">
        <v>43</v>
      </c>
      <c r="D107" s="108">
        <f>SUM(F114:F127)</f>
        <v>0</v>
      </c>
      <c r="F107" s="70"/>
      <c r="G107" s="79"/>
      <c r="H107" s="70"/>
      <c r="I107" s="70"/>
    </row>
    <row r="108" spans="3:12" x14ac:dyDescent="0.25">
      <c r="C108" s="70"/>
      <c r="D108" s="31"/>
      <c r="E108" s="93"/>
      <c r="F108" s="93"/>
      <c r="G108" s="93"/>
      <c r="H108" s="76"/>
      <c r="I108" s="76"/>
      <c r="J108" s="76"/>
      <c r="K108" s="112"/>
    </row>
    <row r="109" spans="3:12" x14ac:dyDescent="0.25">
      <c r="C109" s="70"/>
      <c r="D109" s="31"/>
      <c r="E109" s="93"/>
      <c r="F109" s="93"/>
      <c r="G109" s="93"/>
      <c r="H109" s="76"/>
      <c r="I109" s="76"/>
      <c r="J109" s="76"/>
      <c r="K109" s="112"/>
    </row>
    <row r="110" spans="3:12" ht="15.75" x14ac:dyDescent="0.25">
      <c r="C110" s="202" t="s">
        <v>390</v>
      </c>
      <c r="D110" s="368"/>
      <c r="E110" s="93"/>
      <c r="F110" s="93"/>
      <c r="G110" s="93"/>
      <c r="H110" s="76"/>
      <c r="I110" s="76"/>
      <c r="J110" s="76"/>
      <c r="K110" s="112"/>
    </row>
    <row r="111" spans="3:12" ht="18.75" x14ac:dyDescent="0.25">
      <c r="C111" s="210" t="e">
        <f>IFERROR(VLOOKUP(D110,'1. Desarrollo e Innov. Curricu.'!$F:$G,2,FALSE),IFERROR(VLOOKUP(D110,'2. Investigación Científica'!$F:$G,2,FALSE),IFERROR(VLOOKUP(D110,'3. Vinculación Univ. Sociedad'!$F:$G,2,FALSE),IFERROR(VLOOKUP(D110,'4. Docencia y Profesorado Univ.'!$F:$G,2,FALSE),IFERROR(VLOOKUP(D110,'5. Estudiantes y Graduados'!$F:$G,2,FALSE),IFERROR(VLOOKUP(D110,'11. Gestion Administrativa'!$F:$G,2,FALSE),IFERROR(VLOOKUP(D110,'13. Gestión Académica'!$F:$G,2,FALSE),IFERROR(VLOOKUP(D110,'9. Asegura. de la Calid. y M'!$F:$G,2,FALSE),IFERROR(VLOOKUP(D110,'6. Gestión del Conocimiento'!$F:$G,2,FALSE),IFERROR(VLOOKUP(D110,'15. Gobernabilidad y Proceso...'!$G:$H,2,FALSE),IFERROR(VLOOKUP(D110,'12. Gestión del Talento Humano'!$F:$G,2,FALSE),IFERROR(VLOOKUP(D110,'14. Internacional... de la E.S.'!$F:$G,2,FALSE),IFERROR(VLOOKUP(D110,'10. Posgrado'!$F:$G,2,FALSE),IFERROR(VLOOKUP(D110,'16. Desa. del Sistema Educ.Sup.'!$F:$G,2,FALSE),IFERROR(VLOOKUP(D110,'8. Cultura de Inno. Insti...'!$F:$G,2,FALSE),VLOOKUP(D110,'7. Lo Esencial de la Reforma U.'!$G:$H,2,0))))))))))))))))</f>
        <v>#N/A</v>
      </c>
      <c r="D111" s="31"/>
      <c r="E111" s="93"/>
      <c r="F111" s="93"/>
      <c r="G111" s="93"/>
      <c r="H111" s="76"/>
      <c r="I111" s="76"/>
      <c r="J111" s="76"/>
      <c r="K111" s="112"/>
    </row>
    <row r="112" spans="3:12" x14ac:dyDescent="0.25">
      <c r="F112" s="93"/>
      <c r="G112" s="76"/>
      <c r="H112" s="76"/>
      <c r="I112" s="76"/>
    </row>
    <row r="113" spans="3:12" ht="30.75" thickBot="1" x14ac:dyDescent="0.3">
      <c r="C113" s="149" t="s">
        <v>44</v>
      </c>
      <c r="D113" s="149" t="s">
        <v>55</v>
      </c>
      <c r="E113" s="149" t="s">
        <v>57</v>
      </c>
      <c r="F113" s="150" t="s">
        <v>27</v>
      </c>
      <c r="G113" s="150" t="s">
        <v>129</v>
      </c>
      <c r="H113" s="149" t="s">
        <v>46</v>
      </c>
      <c r="I113" s="149" t="s">
        <v>130</v>
      </c>
      <c r="J113" s="149" t="s">
        <v>408</v>
      </c>
      <c r="K113" s="149" t="s">
        <v>409</v>
      </c>
      <c r="L113" s="149" t="s">
        <v>462</v>
      </c>
    </row>
    <row r="114" spans="3:12" ht="15.75" thickBot="1" x14ac:dyDescent="0.3">
      <c r="C114" s="304" t="s">
        <v>1337</v>
      </c>
      <c r="D114" s="158"/>
      <c r="E114" s="96">
        <f>HLOOKUP($C114,$CB$2:$CE$3,2,0)</f>
        <v>15000</v>
      </c>
      <c r="F114" s="97">
        <f>D114*E114</f>
        <v>0</v>
      </c>
      <c r="G114" s="165"/>
      <c r="H114" s="98" t="s">
        <v>1012</v>
      </c>
      <c r="I114" s="98" t="str">
        <f>VLOOKUP(H114,Presupuesto!$B$11:$C$565,2,0)</f>
        <v>EQUIPO DE COMPUTACION</v>
      </c>
      <c r="J114" s="218" t="s">
        <v>1503</v>
      </c>
      <c r="K114" s="98" t="s">
        <v>392</v>
      </c>
      <c r="L114" s="98"/>
    </row>
    <row r="115" spans="3:12" x14ac:dyDescent="0.25">
      <c r="C115" s="304" t="s">
        <v>1335</v>
      </c>
      <c r="D115" s="151"/>
      <c r="E115" s="96">
        <f>HLOOKUP($C115,$CB$2:$CE$3,2,0)</f>
        <v>35000</v>
      </c>
      <c r="F115" s="97">
        <f>D115*E115</f>
        <v>0</v>
      </c>
      <c r="G115" s="165"/>
      <c r="H115" s="101" t="s">
        <v>1012</v>
      </c>
      <c r="I115" s="101" t="str">
        <f>VLOOKUP(H115,Presupuesto!$B$11:$C$565,2,0)</f>
        <v>EQUIPO DE COMPUTACION</v>
      </c>
      <c r="J115" s="98" t="str">
        <f>$J$114</f>
        <v>Gestión Tecnologías de Información y Comunicación</v>
      </c>
      <c r="K115" s="98" t="s">
        <v>410</v>
      </c>
      <c r="L115" s="98"/>
    </row>
    <row r="116" spans="3:12" x14ac:dyDescent="0.25">
      <c r="C116" s="99" t="s">
        <v>73</v>
      </c>
      <c r="D116" s="151"/>
      <c r="E116" s="100">
        <v>4000</v>
      </c>
      <c r="F116" s="97">
        <f t="shared" ref="F116:F127" si="8">D116*E116</f>
        <v>0</v>
      </c>
      <c r="G116" s="165"/>
      <c r="H116" s="101" t="s">
        <v>984</v>
      </c>
      <c r="I116" s="101" t="str">
        <f>VLOOKUP(H116,Presupuesto!$B$11:$C$565,2,0)</f>
        <v>EQUIPOS VARIOS DE OFICINA</v>
      </c>
      <c r="J116" s="98" t="str">
        <f t="shared" ref="J116:J127" si="9">$J$114</f>
        <v>Gestión Tecnologías de Información y Comunicación</v>
      </c>
      <c r="K116" s="98" t="s">
        <v>393</v>
      </c>
      <c r="L116" s="98"/>
    </row>
    <row r="117" spans="3:12" x14ac:dyDescent="0.25">
      <c r="C117" s="99" t="s">
        <v>74</v>
      </c>
      <c r="D117" s="151"/>
      <c r="E117" s="100">
        <v>8000</v>
      </c>
      <c r="F117" s="97">
        <f t="shared" si="8"/>
        <v>0</v>
      </c>
      <c r="G117" s="165"/>
      <c r="H117" s="101" t="s">
        <v>1012</v>
      </c>
      <c r="I117" s="101" t="str">
        <f>VLOOKUP(H117,Presupuesto!$B$11:$C$565,2,0)</f>
        <v>EQUIPO DE COMPUTACION</v>
      </c>
      <c r="J117" s="98" t="str">
        <f t="shared" si="9"/>
        <v>Gestión Tecnologías de Información y Comunicación</v>
      </c>
      <c r="K117" s="98" t="s">
        <v>393</v>
      </c>
      <c r="L117" s="98"/>
    </row>
    <row r="118" spans="3:12" x14ac:dyDescent="0.25">
      <c r="C118" s="99" t="s">
        <v>75</v>
      </c>
      <c r="D118" s="151"/>
      <c r="E118" s="100">
        <v>5000</v>
      </c>
      <c r="F118" s="97">
        <f t="shared" si="8"/>
        <v>0</v>
      </c>
      <c r="G118" s="165"/>
      <c r="H118" s="101" t="s">
        <v>1012</v>
      </c>
      <c r="I118" s="101" t="str">
        <f>VLOOKUP(H118,Presupuesto!$B$11:$C$565,2,0)</f>
        <v>EQUIPO DE COMPUTACION</v>
      </c>
      <c r="J118" s="98" t="str">
        <f t="shared" si="9"/>
        <v>Gestión Tecnologías de Información y Comunicación</v>
      </c>
      <c r="K118" s="98" t="s">
        <v>393</v>
      </c>
      <c r="L118" s="98"/>
    </row>
    <row r="119" spans="3:12" x14ac:dyDescent="0.25">
      <c r="C119" s="99" t="s">
        <v>35</v>
      </c>
      <c r="D119" s="151"/>
      <c r="E119" s="100">
        <v>13000</v>
      </c>
      <c r="F119" s="97">
        <f t="shared" si="8"/>
        <v>0</v>
      </c>
      <c r="G119" s="165"/>
      <c r="H119" s="101" t="s">
        <v>998</v>
      </c>
      <c r="I119" s="101" t="str">
        <f>VLOOKUP(H119,Presupuesto!$B$11:$C$565,2,0)</f>
        <v>EQUIPO DE TRANSPORTE TRACCION Y ELEVACION</v>
      </c>
      <c r="J119" s="98" t="str">
        <f t="shared" si="9"/>
        <v>Gestión Tecnologías de Información y Comunicación</v>
      </c>
      <c r="K119" s="98" t="s">
        <v>393</v>
      </c>
      <c r="L119" s="98"/>
    </row>
    <row r="120" spans="3:12" x14ac:dyDescent="0.25">
      <c r="C120" s="99" t="s">
        <v>76</v>
      </c>
      <c r="D120" s="151"/>
      <c r="E120" s="100">
        <v>15000</v>
      </c>
      <c r="F120" s="97">
        <f t="shared" si="8"/>
        <v>0</v>
      </c>
      <c r="G120" s="165"/>
      <c r="H120" s="101" t="s">
        <v>998</v>
      </c>
      <c r="I120" s="101" t="str">
        <f>VLOOKUP(H120,Presupuesto!$B$11:$C$565,2,0)</f>
        <v>EQUIPO DE TRANSPORTE TRACCION Y ELEVACION</v>
      </c>
      <c r="J120" s="98" t="str">
        <f t="shared" si="9"/>
        <v>Gestión Tecnologías de Información y Comunicación</v>
      </c>
      <c r="K120" s="98" t="s">
        <v>393</v>
      </c>
      <c r="L120" s="98"/>
    </row>
    <row r="121" spans="3:12" x14ac:dyDescent="0.25">
      <c r="C121" s="99" t="s">
        <v>77</v>
      </c>
      <c r="D121" s="151"/>
      <c r="E121" s="100">
        <v>10000</v>
      </c>
      <c r="F121" s="97">
        <f t="shared" si="8"/>
        <v>0</v>
      </c>
      <c r="G121" s="165"/>
      <c r="H121" s="101" t="s">
        <v>998</v>
      </c>
      <c r="I121" s="101" t="str">
        <f>VLOOKUP(H121,Presupuesto!$B$11:$C$565,2,0)</f>
        <v>EQUIPO DE TRANSPORTE TRACCION Y ELEVACION</v>
      </c>
      <c r="J121" s="98" t="str">
        <f t="shared" si="9"/>
        <v>Gestión Tecnologías de Información y Comunicación</v>
      </c>
      <c r="K121" s="98" t="s">
        <v>401</v>
      </c>
      <c r="L121" s="98"/>
    </row>
    <row r="122" spans="3:12" x14ac:dyDescent="0.25">
      <c r="C122" s="99" t="s">
        <v>78</v>
      </c>
      <c r="D122" s="151"/>
      <c r="E122" s="100">
        <v>10000</v>
      </c>
      <c r="F122" s="97">
        <f t="shared" si="8"/>
        <v>0</v>
      </c>
      <c r="G122" s="165"/>
      <c r="H122" s="101" t="s">
        <v>1044</v>
      </c>
      <c r="I122" s="101" t="str">
        <f>VLOOKUP(H122,Presupuesto!$B$11:$C$565,2,0)</f>
        <v>APLICACIONES INFORMATICAS</v>
      </c>
      <c r="J122" s="98" t="str">
        <f t="shared" si="9"/>
        <v>Gestión Tecnologías de Información y Comunicación</v>
      </c>
      <c r="K122" s="98" t="s">
        <v>397</v>
      </c>
      <c r="L122" s="98"/>
    </row>
    <row r="123" spans="3:12" x14ac:dyDescent="0.25">
      <c r="C123" s="109" t="s">
        <v>79</v>
      </c>
      <c r="D123" s="151"/>
      <c r="E123" s="100">
        <v>2000</v>
      </c>
      <c r="F123" s="97">
        <f t="shared" si="8"/>
        <v>0</v>
      </c>
      <c r="G123" s="165"/>
      <c r="H123" s="110" t="s">
        <v>1012</v>
      </c>
      <c r="I123" s="110" t="str">
        <f>VLOOKUP(H123,Presupuesto!$B$11:$C$565,2,0)</f>
        <v>EQUIPO DE COMPUTACION</v>
      </c>
      <c r="J123" s="98" t="str">
        <f t="shared" si="9"/>
        <v>Gestión Tecnologías de Información y Comunicación</v>
      </c>
      <c r="K123" s="98" t="s">
        <v>393</v>
      </c>
      <c r="L123" s="98"/>
    </row>
    <row r="124" spans="3:12" x14ac:dyDescent="0.25">
      <c r="C124" s="109" t="s">
        <v>1471</v>
      </c>
      <c r="D124" s="151"/>
      <c r="E124" s="100">
        <v>1500</v>
      </c>
      <c r="F124" s="97">
        <f t="shared" si="8"/>
        <v>0</v>
      </c>
      <c r="G124" s="165"/>
      <c r="H124" s="110" t="s">
        <v>944</v>
      </c>
      <c r="I124" s="110" t="str">
        <f>VLOOKUP(H124,Presupuesto!$B$11:$C$565,2,0)</f>
        <v>UTILES Y MATERIALES ELECTRICOS</v>
      </c>
      <c r="J124" s="98" t="str">
        <f t="shared" si="9"/>
        <v>Gestión Tecnologías de Información y Comunicación</v>
      </c>
      <c r="K124" s="98" t="s">
        <v>393</v>
      </c>
      <c r="L124" s="98"/>
    </row>
    <row r="125" spans="3:12" x14ac:dyDescent="0.25">
      <c r="C125" s="109" t="s">
        <v>80</v>
      </c>
      <c r="D125" s="151"/>
      <c r="E125" s="100">
        <v>1500</v>
      </c>
      <c r="F125" s="97">
        <f t="shared" si="8"/>
        <v>0</v>
      </c>
      <c r="G125" s="165"/>
      <c r="H125" s="110" t="s">
        <v>1012</v>
      </c>
      <c r="I125" s="110" t="str">
        <f>VLOOKUP(H125,Presupuesto!$B$11:$C$565,2,0)</f>
        <v>EQUIPO DE COMPUTACION</v>
      </c>
      <c r="J125" s="98" t="str">
        <f t="shared" si="9"/>
        <v>Gestión Tecnologías de Información y Comunicación</v>
      </c>
      <c r="K125" s="98" t="s">
        <v>393</v>
      </c>
      <c r="L125" s="98"/>
    </row>
    <row r="126" spans="3:12" x14ac:dyDescent="0.25">
      <c r="C126" s="109" t="s">
        <v>81</v>
      </c>
      <c r="D126" s="151"/>
      <c r="E126" s="100">
        <v>500</v>
      </c>
      <c r="F126" s="97">
        <f t="shared" si="8"/>
        <v>0</v>
      </c>
      <c r="G126" s="165"/>
      <c r="H126" s="110" t="s">
        <v>953</v>
      </c>
      <c r="I126" s="110" t="str">
        <f>VLOOKUP(H126,Presupuesto!$B$11:$C$565,2,0)</f>
        <v>OTROS RESPUESTOS Y ACCESORIOS MENORES</v>
      </c>
      <c r="J126" s="98" t="str">
        <f t="shared" si="9"/>
        <v>Gestión Tecnologías de Información y Comunicación</v>
      </c>
      <c r="K126" s="98" t="s">
        <v>393</v>
      </c>
      <c r="L126" s="98"/>
    </row>
    <row r="127" spans="3:12" ht="15.75" thickBot="1" x14ac:dyDescent="0.3">
      <c r="C127" s="102" t="s">
        <v>82</v>
      </c>
      <c r="D127" s="159"/>
      <c r="E127" s="104">
        <v>20</v>
      </c>
      <c r="F127" s="105">
        <f t="shared" si="8"/>
        <v>0</v>
      </c>
      <c r="G127" s="162"/>
      <c r="H127" s="106" t="s">
        <v>953</v>
      </c>
      <c r="I127" s="106" t="str">
        <f>VLOOKUP(H127,Presupuesto!$B$11:$C$565,2,0)</f>
        <v>OTROS RESPUESTOS Y ACCESORIOS MENORES</v>
      </c>
      <c r="J127" s="106" t="str">
        <f t="shared" si="9"/>
        <v>Gestión Tecnologías de Información y Comunicación</v>
      </c>
      <c r="K127" s="124" t="s">
        <v>392</v>
      </c>
      <c r="L127" s="124"/>
    </row>
    <row r="128" spans="3:12" x14ac:dyDescent="0.25">
      <c r="F128" s="93"/>
      <c r="G128" s="76"/>
      <c r="H128" s="76"/>
      <c r="I128" s="76"/>
    </row>
    <row r="129" spans="3:12" ht="15.75" thickBot="1" x14ac:dyDescent="0.3"/>
    <row r="130" spans="3:12" ht="15.75" thickBot="1" x14ac:dyDescent="0.3">
      <c r="C130" s="29" t="s">
        <v>43</v>
      </c>
      <c r="D130" s="108">
        <f>SUM(F137:F150)</f>
        <v>0</v>
      </c>
      <c r="F130" s="70"/>
      <c r="G130" s="79"/>
      <c r="H130" s="70"/>
      <c r="I130" s="70"/>
    </row>
    <row r="131" spans="3:12" x14ac:dyDescent="0.25">
      <c r="C131" s="70"/>
      <c r="D131" s="31"/>
      <c r="E131" s="93"/>
      <c r="F131" s="93"/>
      <c r="G131" s="93"/>
      <c r="H131" s="76"/>
      <c r="I131" s="76"/>
      <c r="J131" s="76"/>
      <c r="K131" s="112"/>
    </row>
    <row r="132" spans="3:12" x14ac:dyDescent="0.25">
      <c r="C132" s="70"/>
      <c r="D132" s="31"/>
      <c r="E132" s="93"/>
      <c r="F132" s="93"/>
      <c r="G132" s="93"/>
      <c r="H132" s="76"/>
      <c r="I132" s="76"/>
      <c r="J132" s="76"/>
      <c r="K132" s="112"/>
    </row>
    <row r="133" spans="3:12" ht="15.75" x14ac:dyDescent="0.25">
      <c r="C133" s="202" t="s">
        <v>390</v>
      </c>
      <c r="D133" s="368"/>
      <c r="E133" s="93"/>
      <c r="F133" s="93"/>
      <c r="G133" s="93"/>
      <c r="H133" s="76"/>
      <c r="I133" s="76"/>
      <c r="J133" s="76"/>
      <c r="K133" s="112"/>
    </row>
    <row r="134" spans="3:12" ht="18.75" x14ac:dyDescent="0.25">
      <c r="C134" s="210" t="e">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Graduados'!$F:$G,2,FALSE),IFERROR(VLOOKUP(D133,'11. Gestion Administrativa'!$F:$G,2,FALSE),IFERROR(VLOOKUP(D133,'13. Gestión Académica'!$F:$G,2,FALSE),IFERROR(VLOOKUP(D133,'9. Asegura. de la Calid. y M'!$F:$G,2,FALSE),IFERROR(VLOOKUP(D133,'6. Gestión del Conocimiento'!$F:$G,2,FALSE),IFERROR(VLOOKUP(D133,'15. Gobernabilidad y Proceso...'!$G:$H,2,FALSE),IFERROR(VLOOKUP(D133,'12. Gestión del Talento Humano'!$F:$G,2,FALSE),IFERROR(VLOOKUP(D133,'14. Internacional... de la E.S.'!$F:$G,2,FALSE),IFERROR(VLOOKUP(D133,'10. Posgrado'!$F:$G,2,FALSE),IFERROR(VLOOKUP(D133,'16. Desa. del Sistema Educ.Sup.'!$F:$G,2,FALSE),IFERROR(VLOOKUP(D133,'8. Cultura de Inno. Insti...'!$F:$G,2,FALSE),VLOOKUP(D133,'7. Lo Esencial de la Reforma U.'!$G:$H,2,0))))))))))))))))</f>
        <v>#N/A</v>
      </c>
      <c r="D134" s="31"/>
      <c r="E134" s="93"/>
      <c r="F134" s="93"/>
      <c r="G134" s="93"/>
      <c r="H134" s="76"/>
      <c r="I134" s="76"/>
      <c r="J134" s="76"/>
      <c r="K134" s="112"/>
    </row>
    <row r="135" spans="3:12" x14ac:dyDescent="0.25">
      <c r="F135" s="93"/>
      <c r="G135" s="76"/>
      <c r="H135" s="76"/>
      <c r="I135" s="76"/>
    </row>
    <row r="136" spans="3:12" ht="30.75" thickBot="1" x14ac:dyDescent="0.3">
      <c r="C136" s="149" t="s">
        <v>44</v>
      </c>
      <c r="D136" s="149" t="s">
        <v>55</v>
      </c>
      <c r="E136" s="149" t="s">
        <v>57</v>
      </c>
      <c r="F136" s="150" t="s">
        <v>27</v>
      </c>
      <c r="G136" s="150" t="s">
        <v>129</v>
      </c>
      <c r="H136" s="149" t="s">
        <v>46</v>
      </c>
      <c r="I136" s="149" t="s">
        <v>130</v>
      </c>
      <c r="J136" s="149" t="s">
        <v>408</v>
      </c>
      <c r="K136" s="149" t="s">
        <v>409</v>
      </c>
      <c r="L136" s="149" t="s">
        <v>462</v>
      </c>
    </row>
    <row r="137" spans="3:12" ht="15.75" thickBot="1" x14ac:dyDescent="0.3">
      <c r="C137" s="304" t="s">
        <v>1337</v>
      </c>
      <c r="D137" s="158"/>
      <c r="E137" s="96">
        <f>HLOOKUP($C137,$CB$2:$CE$3,2,0)</f>
        <v>15000</v>
      </c>
      <c r="F137" s="97">
        <f>D137*E137</f>
        <v>0</v>
      </c>
      <c r="G137" s="165"/>
      <c r="H137" s="98" t="s">
        <v>1012</v>
      </c>
      <c r="I137" s="98" t="str">
        <f>VLOOKUP(H137,Presupuesto!$B$11:$C$565,2,0)</f>
        <v>EQUIPO DE COMPUTACION</v>
      </c>
      <c r="J137" s="218" t="s">
        <v>1443</v>
      </c>
      <c r="K137" s="98" t="s">
        <v>392</v>
      </c>
      <c r="L137" s="98"/>
    </row>
    <row r="138" spans="3:12" x14ac:dyDescent="0.25">
      <c r="C138" s="304" t="s">
        <v>1335</v>
      </c>
      <c r="D138" s="151"/>
      <c r="E138" s="96">
        <f>HLOOKUP($C138,$CB$2:$CE$3,2,0)</f>
        <v>35000</v>
      </c>
      <c r="F138" s="97">
        <f>D138*E138</f>
        <v>0</v>
      </c>
      <c r="G138" s="165"/>
      <c r="H138" s="101" t="s">
        <v>1012</v>
      </c>
      <c r="I138" s="101" t="str">
        <f>VLOOKUP(H138,Presupuesto!$B$11:$C$565,2,0)</f>
        <v>EQUIPO DE COMPUTACION</v>
      </c>
      <c r="J138" s="98" t="str">
        <f>$J$137</f>
        <v>Posgrado</v>
      </c>
      <c r="K138" s="98" t="s">
        <v>410</v>
      </c>
      <c r="L138" s="98"/>
    </row>
    <row r="139" spans="3:12" x14ac:dyDescent="0.25">
      <c r="C139" s="99" t="s">
        <v>73</v>
      </c>
      <c r="D139" s="151"/>
      <c r="E139" s="100">
        <v>4000</v>
      </c>
      <c r="F139" s="97">
        <f t="shared" ref="F139:F150" si="10">D139*E139</f>
        <v>0</v>
      </c>
      <c r="G139" s="165"/>
      <c r="H139" s="101" t="s">
        <v>984</v>
      </c>
      <c r="I139" s="101" t="str">
        <f>VLOOKUP(H139,Presupuesto!$B$11:$C$565,2,0)</f>
        <v>EQUIPOS VARIOS DE OFICINA</v>
      </c>
      <c r="J139" s="98" t="str">
        <f t="shared" ref="J139:J149" si="11">$J$137</f>
        <v>Posgrado</v>
      </c>
      <c r="K139" s="98" t="s">
        <v>393</v>
      </c>
      <c r="L139" s="98"/>
    </row>
    <row r="140" spans="3:12" x14ac:dyDescent="0.25">
      <c r="C140" s="99" t="s">
        <v>74</v>
      </c>
      <c r="D140" s="151"/>
      <c r="E140" s="100">
        <v>8000</v>
      </c>
      <c r="F140" s="97">
        <f t="shared" si="10"/>
        <v>0</v>
      </c>
      <c r="G140" s="165"/>
      <c r="H140" s="101" t="s">
        <v>1012</v>
      </c>
      <c r="I140" s="101" t="str">
        <f>VLOOKUP(H140,Presupuesto!$B$11:$C$565,2,0)</f>
        <v>EQUIPO DE COMPUTACION</v>
      </c>
      <c r="J140" s="98" t="str">
        <f t="shared" si="11"/>
        <v>Posgrado</v>
      </c>
      <c r="K140" s="98" t="s">
        <v>393</v>
      </c>
      <c r="L140" s="98"/>
    </row>
    <row r="141" spans="3:12" x14ac:dyDescent="0.25">
      <c r="C141" s="99" t="s">
        <v>75</v>
      </c>
      <c r="D141" s="151"/>
      <c r="E141" s="100">
        <v>5000</v>
      </c>
      <c r="F141" s="97">
        <f t="shared" si="10"/>
        <v>0</v>
      </c>
      <c r="G141" s="165"/>
      <c r="H141" s="101" t="s">
        <v>1012</v>
      </c>
      <c r="I141" s="101" t="str">
        <f>VLOOKUP(H141,Presupuesto!$B$11:$C$565,2,0)</f>
        <v>EQUIPO DE COMPUTACION</v>
      </c>
      <c r="J141" s="98" t="str">
        <f t="shared" si="11"/>
        <v>Posgrado</v>
      </c>
      <c r="K141" s="98" t="s">
        <v>393</v>
      </c>
      <c r="L141" s="98"/>
    </row>
    <row r="142" spans="3:12" x14ac:dyDescent="0.25">
      <c r="C142" s="99" t="s">
        <v>35</v>
      </c>
      <c r="D142" s="151"/>
      <c r="E142" s="100">
        <v>13000</v>
      </c>
      <c r="F142" s="97">
        <f t="shared" si="10"/>
        <v>0</v>
      </c>
      <c r="G142" s="165"/>
      <c r="H142" s="101" t="s">
        <v>998</v>
      </c>
      <c r="I142" s="101" t="str">
        <f>VLOOKUP(H142,Presupuesto!$B$11:$C$565,2,0)</f>
        <v>EQUIPO DE TRANSPORTE TRACCION Y ELEVACION</v>
      </c>
      <c r="J142" s="98" t="str">
        <f t="shared" si="11"/>
        <v>Posgrado</v>
      </c>
      <c r="K142" s="98" t="s">
        <v>393</v>
      </c>
      <c r="L142" s="98"/>
    </row>
    <row r="143" spans="3:12" x14ac:dyDescent="0.25">
      <c r="C143" s="99" t="s">
        <v>76</v>
      </c>
      <c r="D143" s="151"/>
      <c r="E143" s="100">
        <v>15000</v>
      </c>
      <c r="F143" s="97">
        <f t="shared" si="10"/>
        <v>0</v>
      </c>
      <c r="G143" s="165"/>
      <c r="H143" s="101" t="s">
        <v>998</v>
      </c>
      <c r="I143" s="101" t="str">
        <f>VLOOKUP(H143,Presupuesto!$B$11:$C$565,2,0)</f>
        <v>EQUIPO DE TRANSPORTE TRACCION Y ELEVACION</v>
      </c>
      <c r="J143" s="98" t="str">
        <f t="shared" si="11"/>
        <v>Posgrado</v>
      </c>
      <c r="K143" s="98" t="s">
        <v>393</v>
      </c>
      <c r="L143" s="98"/>
    </row>
    <row r="144" spans="3:12" x14ac:dyDescent="0.25">
      <c r="C144" s="99" t="s">
        <v>77</v>
      </c>
      <c r="D144" s="151"/>
      <c r="E144" s="100">
        <v>10000</v>
      </c>
      <c r="F144" s="97">
        <f t="shared" si="10"/>
        <v>0</v>
      </c>
      <c r="G144" s="165"/>
      <c r="H144" s="101" t="s">
        <v>998</v>
      </c>
      <c r="I144" s="101" t="str">
        <f>VLOOKUP(H144,Presupuesto!$B$11:$C$565,2,0)</f>
        <v>EQUIPO DE TRANSPORTE TRACCION Y ELEVACION</v>
      </c>
      <c r="J144" s="98" t="str">
        <f t="shared" si="11"/>
        <v>Posgrado</v>
      </c>
      <c r="K144" s="98" t="s">
        <v>401</v>
      </c>
      <c r="L144" s="98"/>
    </row>
    <row r="145" spans="3:12" x14ac:dyDescent="0.25">
      <c r="C145" s="99" t="s">
        <v>78</v>
      </c>
      <c r="D145" s="151"/>
      <c r="E145" s="100">
        <v>10000</v>
      </c>
      <c r="F145" s="97">
        <f t="shared" si="10"/>
        <v>0</v>
      </c>
      <c r="G145" s="165"/>
      <c r="H145" s="101" t="s">
        <v>1044</v>
      </c>
      <c r="I145" s="101" t="str">
        <f>VLOOKUP(H145,Presupuesto!$B$11:$C$565,2,0)</f>
        <v>APLICACIONES INFORMATICAS</v>
      </c>
      <c r="J145" s="98" t="str">
        <f t="shared" si="11"/>
        <v>Posgrado</v>
      </c>
      <c r="K145" s="98" t="s">
        <v>397</v>
      </c>
      <c r="L145" s="98"/>
    </row>
    <row r="146" spans="3:12" x14ac:dyDescent="0.25">
      <c r="C146" s="109" t="s">
        <v>79</v>
      </c>
      <c r="D146" s="151"/>
      <c r="E146" s="100">
        <v>2000</v>
      </c>
      <c r="F146" s="97">
        <f t="shared" si="10"/>
        <v>0</v>
      </c>
      <c r="G146" s="165"/>
      <c r="H146" s="110" t="s">
        <v>1012</v>
      </c>
      <c r="I146" s="110" t="str">
        <f>VLOOKUP(H146,Presupuesto!$B$11:$C$565,2,0)</f>
        <v>EQUIPO DE COMPUTACION</v>
      </c>
      <c r="J146" s="98" t="str">
        <f t="shared" si="11"/>
        <v>Posgrado</v>
      </c>
      <c r="K146" s="98" t="s">
        <v>393</v>
      </c>
      <c r="L146" s="98"/>
    </row>
    <row r="147" spans="3:12" x14ac:dyDescent="0.25">
      <c r="C147" s="109" t="s">
        <v>1471</v>
      </c>
      <c r="D147" s="151"/>
      <c r="E147" s="100">
        <v>1500</v>
      </c>
      <c r="F147" s="97">
        <f t="shared" si="10"/>
        <v>0</v>
      </c>
      <c r="G147" s="165"/>
      <c r="H147" s="110" t="s">
        <v>944</v>
      </c>
      <c r="I147" s="110" t="str">
        <f>VLOOKUP(H147,Presupuesto!$B$11:$C$565,2,0)</f>
        <v>UTILES Y MATERIALES ELECTRICOS</v>
      </c>
      <c r="J147" s="98" t="str">
        <f t="shared" si="11"/>
        <v>Posgrado</v>
      </c>
      <c r="K147" s="98" t="s">
        <v>393</v>
      </c>
      <c r="L147" s="98"/>
    </row>
    <row r="148" spans="3:12" x14ac:dyDescent="0.25">
      <c r="C148" s="109" t="s">
        <v>80</v>
      </c>
      <c r="D148" s="151"/>
      <c r="E148" s="100">
        <v>1500</v>
      </c>
      <c r="F148" s="97">
        <f t="shared" si="10"/>
        <v>0</v>
      </c>
      <c r="G148" s="165"/>
      <c r="H148" s="110" t="s">
        <v>1012</v>
      </c>
      <c r="I148" s="110" t="str">
        <f>VLOOKUP(H148,Presupuesto!$B$11:$C$565,2,0)</f>
        <v>EQUIPO DE COMPUTACION</v>
      </c>
      <c r="J148" s="98" t="str">
        <f t="shared" si="11"/>
        <v>Posgrado</v>
      </c>
      <c r="K148" s="98" t="s">
        <v>393</v>
      </c>
      <c r="L148" s="98"/>
    </row>
    <row r="149" spans="3:12" x14ac:dyDescent="0.25">
      <c r="C149" s="109" t="s">
        <v>81</v>
      </c>
      <c r="D149" s="151"/>
      <c r="E149" s="100">
        <v>500</v>
      </c>
      <c r="F149" s="97">
        <f t="shared" si="10"/>
        <v>0</v>
      </c>
      <c r="G149" s="165"/>
      <c r="H149" s="110" t="s">
        <v>953</v>
      </c>
      <c r="I149" s="110" t="str">
        <f>VLOOKUP(H149,Presupuesto!$B$11:$C$565,2,0)</f>
        <v>OTROS RESPUESTOS Y ACCESORIOS MENORES</v>
      </c>
      <c r="J149" s="98" t="str">
        <f t="shared" si="11"/>
        <v>Posgrado</v>
      </c>
      <c r="K149" s="98" t="s">
        <v>393</v>
      </c>
      <c r="L149" s="98"/>
    </row>
    <row r="150" spans="3:12" ht="15.75" thickBot="1" x14ac:dyDescent="0.3">
      <c r="C150" s="102" t="s">
        <v>82</v>
      </c>
      <c r="D150" s="159"/>
      <c r="E150" s="104">
        <v>20</v>
      </c>
      <c r="F150" s="105">
        <f t="shared" si="10"/>
        <v>0</v>
      </c>
      <c r="G150" s="162"/>
      <c r="H150" s="106" t="s">
        <v>953</v>
      </c>
      <c r="I150" s="106" t="str">
        <f>VLOOKUP(H150,Presupuesto!$B$11:$C$565,2,0)</f>
        <v>OTROS RESPUESTOS Y ACCESORIOS MENORES</v>
      </c>
      <c r="J150" s="106" t="str">
        <f>$J$137</f>
        <v>Posgrado</v>
      </c>
      <c r="K150" s="124" t="s">
        <v>392</v>
      </c>
      <c r="L150" s="124"/>
    </row>
    <row r="152" spans="3:12" ht="15.75" thickBot="1" x14ac:dyDescent="0.3"/>
    <row r="153" spans="3:12" ht="15.75" thickBot="1" x14ac:dyDescent="0.3">
      <c r="C153" s="29" t="s">
        <v>43</v>
      </c>
      <c r="D153" s="108">
        <f>SUM(F160:F173)</f>
        <v>0</v>
      </c>
      <c r="F153" s="70"/>
      <c r="G153" s="79"/>
      <c r="H153" s="70"/>
      <c r="I153" s="70"/>
    </row>
    <row r="154" spans="3:12" x14ac:dyDescent="0.25">
      <c r="C154" s="70"/>
      <c r="D154" s="31"/>
      <c r="E154" s="93"/>
      <c r="F154" s="93"/>
      <c r="G154" s="93"/>
      <c r="H154" s="76"/>
      <c r="I154" s="76"/>
      <c r="J154" s="76"/>
      <c r="K154" s="112"/>
    </row>
    <row r="155" spans="3:12" x14ac:dyDescent="0.25">
      <c r="C155" s="70"/>
      <c r="D155" s="31"/>
      <c r="E155" s="93"/>
      <c r="F155" s="93"/>
      <c r="G155" s="93"/>
      <c r="H155" s="76"/>
      <c r="I155" s="76"/>
      <c r="J155" s="76"/>
      <c r="K155" s="112"/>
    </row>
    <row r="156" spans="3:12" ht="15.75" x14ac:dyDescent="0.25">
      <c r="C156" s="202" t="s">
        <v>390</v>
      </c>
      <c r="D156" s="368"/>
      <c r="E156" s="93"/>
      <c r="F156" s="93"/>
      <c r="G156" s="93"/>
      <c r="H156" s="76"/>
      <c r="I156" s="76"/>
      <c r="J156" s="76"/>
      <c r="K156" s="112"/>
    </row>
    <row r="157" spans="3:12" ht="18.75" x14ac:dyDescent="0.25">
      <c r="C157" s="210" t="e">
        <f>IFERROR(VLOOKUP(D156,'1. Desarrollo e Innov. Curricu.'!$F:$G,2,FALSE),IFERROR(VLOOKUP(D156,'2. Investigación Científica'!$F:$G,2,FALSE),IFERROR(VLOOKUP(D156,'3. Vinculación Univ. Sociedad'!$F:$G,2,FALSE),IFERROR(VLOOKUP(D156,'4. Docencia y Profesorado Univ.'!$F:$G,2,FALSE),IFERROR(VLOOKUP(D156,'5. Estudiantes y Graduados'!$F:$G,2,FALSE),IFERROR(VLOOKUP(D156,'11. Gestion Administrativa'!$F:$G,2,FALSE),IFERROR(VLOOKUP(D156,'13. Gestión Académica'!$F:$G,2,FALSE),IFERROR(VLOOKUP(D156,'9. Asegura. de la Calid. y M'!$F:$G,2,FALSE),IFERROR(VLOOKUP(D156,'6. Gestión del Conocimiento'!$F:$G,2,FALSE),IFERROR(VLOOKUP(D156,'15. Gobernabilidad y Proceso...'!$G:$H,2,FALSE),IFERROR(VLOOKUP(D156,'12. Gestión del Talento Humano'!$F:$G,2,FALSE),IFERROR(VLOOKUP(D156,'14. Internacional... de la E.S.'!$F:$G,2,FALSE),IFERROR(VLOOKUP(D156,'10. Posgrado'!$F:$G,2,FALSE),IFERROR(VLOOKUP(D156,'16. Desa. del Sistema Educ.Sup.'!$F:$G,2,FALSE),IFERROR(VLOOKUP(D156,'8. Cultura de Inno. Insti...'!$F:$G,2,FALSE),VLOOKUP(D156,'7. Lo Esencial de la Reforma U.'!$G:$H,2,0))))))))))))))))</f>
        <v>#N/A</v>
      </c>
      <c r="D157" s="31"/>
      <c r="E157" s="93"/>
      <c r="F157" s="93"/>
      <c r="G157" s="93"/>
      <c r="H157" s="76"/>
      <c r="I157" s="76"/>
      <c r="J157" s="76"/>
      <c r="K157" s="112"/>
    </row>
    <row r="158" spans="3:12" x14ac:dyDescent="0.25">
      <c r="F158" s="93"/>
      <c r="G158" s="76"/>
      <c r="H158" s="76"/>
      <c r="I158" s="76"/>
    </row>
    <row r="159" spans="3:12" ht="30.75" thickBot="1" x14ac:dyDescent="0.3">
      <c r="C159" s="149" t="s">
        <v>44</v>
      </c>
      <c r="D159" s="149" t="s">
        <v>55</v>
      </c>
      <c r="E159" s="149" t="s">
        <v>57</v>
      </c>
      <c r="F159" s="150" t="s">
        <v>27</v>
      </c>
      <c r="G159" s="150" t="s">
        <v>129</v>
      </c>
      <c r="H159" s="149" t="s">
        <v>46</v>
      </c>
      <c r="I159" s="149" t="s">
        <v>130</v>
      </c>
      <c r="J159" s="149" t="s">
        <v>408</v>
      </c>
      <c r="K159" s="149" t="s">
        <v>409</v>
      </c>
      <c r="L159" s="149" t="s">
        <v>462</v>
      </c>
    </row>
    <row r="160" spans="3:12" ht="15.75" thickBot="1" x14ac:dyDescent="0.3">
      <c r="C160" s="304" t="s">
        <v>1337</v>
      </c>
      <c r="D160" s="158"/>
      <c r="E160" s="96">
        <f>HLOOKUP($C160,$CB$2:$CE$3,2,0)</f>
        <v>15000</v>
      </c>
      <c r="F160" s="97">
        <f>D160*E160</f>
        <v>0</v>
      </c>
      <c r="G160" s="165"/>
      <c r="H160" s="98" t="s">
        <v>1012</v>
      </c>
      <c r="I160" s="98" t="str">
        <f>VLOOKUP(H160,Presupuesto!$B$11:$C$565,2,0)</f>
        <v>EQUIPO DE COMPUTACION</v>
      </c>
      <c r="J160" s="218" t="s">
        <v>1443</v>
      </c>
      <c r="K160" s="98" t="s">
        <v>392</v>
      </c>
      <c r="L160" s="98"/>
    </row>
    <row r="161" spans="3:12" x14ac:dyDescent="0.25">
      <c r="C161" s="304" t="s">
        <v>1335</v>
      </c>
      <c r="D161" s="151"/>
      <c r="E161" s="96">
        <f>HLOOKUP($C161,$CB$2:$CE$3,2,0)</f>
        <v>35000</v>
      </c>
      <c r="F161" s="97">
        <f>D161*E161</f>
        <v>0</v>
      </c>
      <c r="G161" s="165"/>
      <c r="H161" s="101" t="s">
        <v>1012</v>
      </c>
      <c r="I161" s="101" t="str">
        <f>VLOOKUP(H161,Presupuesto!$B$11:$C$565,2,0)</f>
        <v>EQUIPO DE COMPUTACION</v>
      </c>
      <c r="J161" s="98" t="str">
        <f>$J$160</f>
        <v>Posgrado</v>
      </c>
      <c r="K161" s="98" t="s">
        <v>410</v>
      </c>
      <c r="L161" s="98"/>
    </row>
    <row r="162" spans="3:12" x14ac:dyDescent="0.25">
      <c r="C162" s="99" t="s">
        <v>73</v>
      </c>
      <c r="D162" s="151"/>
      <c r="E162" s="100">
        <v>4000</v>
      </c>
      <c r="F162" s="97">
        <f t="shared" ref="F162:F173" si="12">D162*E162</f>
        <v>0</v>
      </c>
      <c r="G162" s="165"/>
      <c r="H162" s="101" t="s">
        <v>984</v>
      </c>
      <c r="I162" s="101" t="str">
        <f>VLOOKUP(H162,Presupuesto!$B$11:$C$565,2,0)</f>
        <v>EQUIPOS VARIOS DE OFICINA</v>
      </c>
      <c r="J162" s="98" t="str">
        <f t="shared" ref="J162:J173" si="13">$J$160</f>
        <v>Posgrado</v>
      </c>
      <c r="K162" s="98" t="s">
        <v>393</v>
      </c>
      <c r="L162" s="98"/>
    </row>
    <row r="163" spans="3:12" x14ac:dyDescent="0.25">
      <c r="C163" s="99" t="s">
        <v>74</v>
      </c>
      <c r="D163" s="151"/>
      <c r="E163" s="100">
        <v>8000</v>
      </c>
      <c r="F163" s="97">
        <f t="shared" si="12"/>
        <v>0</v>
      </c>
      <c r="G163" s="165"/>
      <c r="H163" s="101" t="s">
        <v>1012</v>
      </c>
      <c r="I163" s="101" t="str">
        <f>VLOOKUP(H163,Presupuesto!$B$11:$C$565,2,0)</f>
        <v>EQUIPO DE COMPUTACION</v>
      </c>
      <c r="J163" s="98" t="str">
        <f t="shared" si="13"/>
        <v>Posgrado</v>
      </c>
      <c r="K163" s="98" t="s">
        <v>393</v>
      </c>
      <c r="L163" s="98"/>
    </row>
    <row r="164" spans="3:12" x14ac:dyDescent="0.25">
      <c r="C164" s="99" t="s">
        <v>75</v>
      </c>
      <c r="D164" s="151"/>
      <c r="E164" s="100">
        <v>5000</v>
      </c>
      <c r="F164" s="97">
        <f t="shared" si="12"/>
        <v>0</v>
      </c>
      <c r="G164" s="165"/>
      <c r="H164" s="101" t="s">
        <v>1012</v>
      </c>
      <c r="I164" s="101" t="str">
        <f>VLOOKUP(H164,Presupuesto!$B$11:$C$565,2,0)</f>
        <v>EQUIPO DE COMPUTACION</v>
      </c>
      <c r="J164" s="98" t="str">
        <f t="shared" si="13"/>
        <v>Posgrado</v>
      </c>
      <c r="K164" s="98" t="s">
        <v>393</v>
      </c>
      <c r="L164" s="98"/>
    </row>
    <row r="165" spans="3:12" x14ac:dyDescent="0.25">
      <c r="C165" s="99" t="s">
        <v>35</v>
      </c>
      <c r="D165" s="151"/>
      <c r="E165" s="100">
        <v>13000</v>
      </c>
      <c r="F165" s="97">
        <f t="shared" si="12"/>
        <v>0</v>
      </c>
      <c r="G165" s="165"/>
      <c r="H165" s="101" t="s">
        <v>998</v>
      </c>
      <c r="I165" s="101" t="str">
        <f>VLOOKUP(H165,Presupuesto!$B$11:$C$565,2,0)</f>
        <v>EQUIPO DE TRANSPORTE TRACCION Y ELEVACION</v>
      </c>
      <c r="J165" s="98" t="str">
        <f t="shared" si="13"/>
        <v>Posgrado</v>
      </c>
      <c r="K165" s="98" t="s">
        <v>393</v>
      </c>
      <c r="L165" s="98"/>
    </row>
    <row r="166" spans="3:12" x14ac:dyDescent="0.25">
      <c r="C166" s="99" t="s">
        <v>76</v>
      </c>
      <c r="D166" s="151"/>
      <c r="E166" s="100">
        <v>15000</v>
      </c>
      <c r="F166" s="97">
        <f t="shared" si="12"/>
        <v>0</v>
      </c>
      <c r="G166" s="165"/>
      <c r="H166" s="101" t="s">
        <v>998</v>
      </c>
      <c r="I166" s="101" t="str">
        <f>VLOOKUP(H166,Presupuesto!$B$11:$C$565,2,0)</f>
        <v>EQUIPO DE TRANSPORTE TRACCION Y ELEVACION</v>
      </c>
      <c r="J166" s="98" t="str">
        <f t="shared" si="13"/>
        <v>Posgrado</v>
      </c>
      <c r="K166" s="98" t="s">
        <v>393</v>
      </c>
      <c r="L166" s="98"/>
    </row>
    <row r="167" spans="3:12" x14ac:dyDescent="0.25">
      <c r="C167" s="99" t="s">
        <v>77</v>
      </c>
      <c r="D167" s="151"/>
      <c r="E167" s="100">
        <v>10000</v>
      </c>
      <c r="F167" s="97">
        <f t="shared" si="12"/>
        <v>0</v>
      </c>
      <c r="G167" s="165"/>
      <c r="H167" s="101" t="s">
        <v>998</v>
      </c>
      <c r="I167" s="101" t="str">
        <f>VLOOKUP(H167,Presupuesto!$B$11:$C$565,2,0)</f>
        <v>EQUIPO DE TRANSPORTE TRACCION Y ELEVACION</v>
      </c>
      <c r="J167" s="98" t="str">
        <f t="shared" si="13"/>
        <v>Posgrado</v>
      </c>
      <c r="K167" s="98" t="s">
        <v>401</v>
      </c>
      <c r="L167" s="98"/>
    </row>
    <row r="168" spans="3:12" x14ac:dyDescent="0.25">
      <c r="C168" s="99" t="s">
        <v>78</v>
      </c>
      <c r="D168" s="151"/>
      <c r="E168" s="100">
        <v>10000</v>
      </c>
      <c r="F168" s="97">
        <f t="shared" si="12"/>
        <v>0</v>
      </c>
      <c r="G168" s="165"/>
      <c r="H168" s="101" t="s">
        <v>1044</v>
      </c>
      <c r="I168" s="101" t="str">
        <f>VLOOKUP(H168,Presupuesto!$B$11:$C$565,2,0)</f>
        <v>APLICACIONES INFORMATICAS</v>
      </c>
      <c r="J168" s="98" t="str">
        <f t="shared" si="13"/>
        <v>Posgrado</v>
      </c>
      <c r="K168" s="98" t="s">
        <v>397</v>
      </c>
      <c r="L168" s="98"/>
    </row>
    <row r="169" spans="3:12" x14ac:dyDescent="0.25">
      <c r="C169" s="109" t="s">
        <v>79</v>
      </c>
      <c r="D169" s="151"/>
      <c r="E169" s="100">
        <v>2000</v>
      </c>
      <c r="F169" s="97">
        <f t="shared" si="12"/>
        <v>0</v>
      </c>
      <c r="G169" s="165"/>
      <c r="H169" s="110" t="s">
        <v>1012</v>
      </c>
      <c r="I169" s="110" t="str">
        <f>VLOOKUP(H169,Presupuesto!$B$11:$C$565,2,0)</f>
        <v>EQUIPO DE COMPUTACION</v>
      </c>
      <c r="J169" s="98" t="str">
        <f t="shared" si="13"/>
        <v>Posgrado</v>
      </c>
      <c r="K169" s="98" t="s">
        <v>393</v>
      </c>
      <c r="L169" s="98"/>
    </row>
    <row r="170" spans="3:12" x14ac:dyDescent="0.25">
      <c r="C170" s="109" t="s">
        <v>1471</v>
      </c>
      <c r="D170" s="151"/>
      <c r="E170" s="100">
        <v>1500</v>
      </c>
      <c r="F170" s="97">
        <f t="shared" si="12"/>
        <v>0</v>
      </c>
      <c r="G170" s="165"/>
      <c r="H170" s="110" t="s">
        <v>944</v>
      </c>
      <c r="I170" s="110" t="str">
        <f>VLOOKUP(H170,Presupuesto!$B$11:$C$565,2,0)</f>
        <v>UTILES Y MATERIALES ELECTRICOS</v>
      </c>
      <c r="J170" s="98" t="str">
        <f t="shared" si="13"/>
        <v>Posgrado</v>
      </c>
      <c r="K170" s="98" t="s">
        <v>393</v>
      </c>
      <c r="L170" s="98"/>
    </row>
    <row r="171" spans="3:12" x14ac:dyDescent="0.25">
      <c r="C171" s="109" t="s">
        <v>80</v>
      </c>
      <c r="D171" s="151"/>
      <c r="E171" s="100">
        <v>1500</v>
      </c>
      <c r="F171" s="97">
        <f t="shared" si="12"/>
        <v>0</v>
      </c>
      <c r="G171" s="165"/>
      <c r="H171" s="110" t="s">
        <v>1012</v>
      </c>
      <c r="I171" s="110" t="str">
        <f>VLOOKUP(H171,Presupuesto!$B$11:$C$565,2,0)</f>
        <v>EQUIPO DE COMPUTACION</v>
      </c>
      <c r="J171" s="98" t="str">
        <f t="shared" si="13"/>
        <v>Posgrado</v>
      </c>
      <c r="K171" s="98" t="s">
        <v>393</v>
      </c>
      <c r="L171" s="98"/>
    </row>
    <row r="172" spans="3:12" x14ac:dyDescent="0.25">
      <c r="C172" s="109" t="s">
        <v>81</v>
      </c>
      <c r="D172" s="151"/>
      <c r="E172" s="100">
        <v>500</v>
      </c>
      <c r="F172" s="97">
        <f t="shared" si="12"/>
        <v>0</v>
      </c>
      <c r="G172" s="165"/>
      <c r="H172" s="110" t="s">
        <v>953</v>
      </c>
      <c r="I172" s="110" t="str">
        <f>VLOOKUP(H172,Presupuesto!$B$11:$C$565,2,0)</f>
        <v>OTROS RESPUESTOS Y ACCESORIOS MENORES</v>
      </c>
      <c r="J172" s="98" t="str">
        <f t="shared" si="13"/>
        <v>Posgrado</v>
      </c>
      <c r="K172" s="98" t="s">
        <v>393</v>
      </c>
      <c r="L172" s="98"/>
    </row>
    <row r="173" spans="3:12" ht="15.75" thickBot="1" x14ac:dyDescent="0.3">
      <c r="C173" s="102" t="s">
        <v>82</v>
      </c>
      <c r="D173" s="159"/>
      <c r="E173" s="104">
        <v>20</v>
      </c>
      <c r="F173" s="105">
        <f t="shared" si="12"/>
        <v>0</v>
      </c>
      <c r="G173" s="162"/>
      <c r="H173" s="106" t="s">
        <v>953</v>
      </c>
      <c r="I173" s="106" t="str">
        <f>VLOOKUP(H173,Presupuesto!$B$11:$C$565,2,0)</f>
        <v>OTROS RESPUESTOS Y ACCESORIOS MENORES</v>
      </c>
      <c r="J173" s="106" t="str">
        <f t="shared" si="13"/>
        <v>Posgrado</v>
      </c>
      <c r="K173" s="124" t="s">
        <v>392</v>
      </c>
      <c r="L173" s="124"/>
    </row>
    <row r="174" spans="3:12" x14ac:dyDescent="0.25">
      <c r="F174" s="93"/>
      <c r="G174" s="76"/>
      <c r="H174" s="76"/>
      <c r="I174" s="76"/>
    </row>
    <row r="175" spans="3:12" ht="15.75" thickBot="1" x14ac:dyDescent="0.3"/>
    <row r="176" spans="3:12" ht="15.75" thickBot="1" x14ac:dyDescent="0.3">
      <c r="C176" s="29" t="s">
        <v>43</v>
      </c>
      <c r="D176" s="108">
        <f>SUM(F183:F196)</f>
        <v>0</v>
      </c>
      <c r="F176" s="70"/>
      <c r="G176" s="79"/>
      <c r="H176" s="70"/>
      <c r="I176" s="70"/>
    </row>
    <row r="177" spans="3:12" x14ac:dyDescent="0.25">
      <c r="C177" s="70"/>
      <c r="D177" s="31"/>
      <c r="E177" s="93"/>
      <c r="F177" s="93"/>
      <c r="G177" s="93"/>
      <c r="H177" s="76"/>
      <c r="I177" s="76"/>
      <c r="J177" s="76"/>
      <c r="K177" s="112"/>
    </row>
    <row r="178" spans="3:12" x14ac:dyDescent="0.25">
      <c r="C178" s="70"/>
      <c r="D178" s="31"/>
      <c r="E178" s="93"/>
      <c r="F178" s="93"/>
      <c r="G178" s="93"/>
      <c r="H178" s="76"/>
      <c r="I178" s="76"/>
      <c r="J178" s="76"/>
      <c r="K178" s="112"/>
    </row>
    <row r="179" spans="3:12" ht="15.75" x14ac:dyDescent="0.25">
      <c r="C179" s="202" t="s">
        <v>390</v>
      </c>
      <c r="D179" s="368"/>
      <c r="E179" s="93"/>
      <c r="F179" s="93"/>
      <c r="G179" s="93"/>
      <c r="H179" s="76"/>
      <c r="I179" s="76"/>
      <c r="J179" s="76"/>
      <c r="K179" s="112"/>
    </row>
    <row r="180" spans="3:12" ht="18.75" x14ac:dyDescent="0.25">
      <c r="C180" s="210" t="e">
        <f>IFERROR(VLOOKUP(D179,'1. Desarrollo e Innov. Curricu.'!$F:$G,2,FALSE),IFERROR(VLOOKUP(D179,'2. Investigación Científica'!$F:$G,2,FALSE),IFERROR(VLOOKUP(D179,'3. Vinculación Univ. Sociedad'!$F:$G,2,FALSE),IFERROR(VLOOKUP(D179,'4. Docencia y Profesorado Univ.'!$F:$G,2,FALSE),IFERROR(VLOOKUP(D179,'5. Estudiantes y Graduados'!$F:$G,2,FALSE),IFERROR(VLOOKUP(D179,'11. Gestion Administrativa'!$F:$G,2,FALSE),IFERROR(VLOOKUP(D179,'13. Gestión Académica'!$F:$G,2,FALSE),IFERROR(VLOOKUP(D179,'9. Asegura. de la Calid. y M'!$F:$G,2,FALSE),IFERROR(VLOOKUP(D179,'6. Gestión del Conocimiento'!$F:$G,2,FALSE),IFERROR(VLOOKUP(D179,'15. Gobernabilidad y Proceso...'!$G:$H,2,FALSE),IFERROR(VLOOKUP(D179,'12. Gestión del Talento Humano'!$F:$G,2,FALSE),IFERROR(VLOOKUP(D179,'14. Internacional... de la E.S.'!$F:$G,2,FALSE),IFERROR(VLOOKUP(D179,'10. Posgrado'!$F:$G,2,FALSE),IFERROR(VLOOKUP(D179,'16. Desa. del Sistema Educ.Sup.'!$F:$G,2,FALSE),IFERROR(VLOOKUP(D179,'8. Cultura de Inno. Insti...'!$F:$G,2,FALSE),VLOOKUP(D179,'7. Lo Esencial de la Reforma U.'!$G:$H,2,0))))))))))))))))</f>
        <v>#N/A</v>
      </c>
      <c r="D180" s="31"/>
      <c r="E180" s="93"/>
      <c r="F180" s="93"/>
      <c r="G180" s="93"/>
      <c r="H180" s="76"/>
      <c r="I180" s="76"/>
      <c r="J180" s="76"/>
      <c r="K180" s="112"/>
    </row>
    <row r="181" spans="3:12" x14ac:dyDescent="0.25">
      <c r="F181" s="93"/>
      <c r="G181" s="76"/>
      <c r="H181" s="76"/>
      <c r="I181" s="76"/>
    </row>
    <row r="182" spans="3:12" ht="30.75" thickBot="1" x14ac:dyDescent="0.3">
      <c r="C182" s="149" t="s">
        <v>44</v>
      </c>
      <c r="D182" s="149" t="s">
        <v>55</v>
      </c>
      <c r="E182" s="149" t="s">
        <v>57</v>
      </c>
      <c r="F182" s="150" t="s">
        <v>27</v>
      </c>
      <c r="G182" s="150" t="s">
        <v>129</v>
      </c>
      <c r="H182" s="149" t="s">
        <v>46</v>
      </c>
      <c r="I182" s="149" t="s">
        <v>130</v>
      </c>
      <c r="J182" s="149" t="s">
        <v>408</v>
      </c>
      <c r="K182" s="149" t="s">
        <v>409</v>
      </c>
      <c r="L182" s="149" t="s">
        <v>462</v>
      </c>
    </row>
    <row r="183" spans="3:12" ht="15.75" thickBot="1" x14ac:dyDescent="0.3">
      <c r="C183" s="304" t="s">
        <v>1337</v>
      </c>
      <c r="D183" s="158"/>
      <c r="E183" s="96">
        <f>HLOOKUP($C183,$CB$2:$CE$3,2,0)</f>
        <v>15000</v>
      </c>
      <c r="F183" s="97">
        <f>D183*E183</f>
        <v>0</v>
      </c>
      <c r="G183" s="165"/>
      <c r="H183" s="98" t="s">
        <v>1012</v>
      </c>
      <c r="I183" s="98" t="str">
        <f>VLOOKUP(H183,Presupuesto!$B$11:$C$565,2,0)</f>
        <v>EQUIPO DE COMPUTACION</v>
      </c>
      <c r="J183" s="218" t="s">
        <v>1443</v>
      </c>
      <c r="K183" s="98" t="s">
        <v>392</v>
      </c>
      <c r="L183" s="98"/>
    </row>
    <row r="184" spans="3:12" x14ac:dyDescent="0.25">
      <c r="C184" s="304" t="s">
        <v>1335</v>
      </c>
      <c r="D184" s="151"/>
      <c r="E184" s="96">
        <f>HLOOKUP($C184,$CB$2:$CE$3,2,0)</f>
        <v>35000</v>
      </c>
      <c r="F184" s="97">
        <f>D184*E184</f>
        <v>0</v>
      </c>
      <c r="G184" s="165"/>
      <c r="H184" s="101" t="s">
        <v>1012</v>
      </c>
      <c r="I184" s="101" t="str">
        <f>VLOOKUP(H184,Presupuesto!$B$11:$C$565,2,0)</f>
        <v>EQUIPO DE COMPUTACION</v>
      </c>
      <c r="J184" s="98" t="str">
        <f>$J$183</f>
        <v>Posgrado</v>
      </c>
      <c r="K184" s="98" t="s">
        <v>410</v>
      </c>
      <c r="L184" s="98"/>
    </row>
    <row r="185" spans="3:12" x14ac:dyDescent="0.25">
      <c r="C185" s="99" t="s">
        <v>73</v>
      </c>
      <c r="D185" s="151"/>
      <c r="E185" s="100">
        <v>4000</v>
      </c>
      <c r="F185" s="97">
        <f t="shared" ref="F185:F196" si="14">D185*E185</f>
        <v>0</v>
      </c>
      <c r="G185" s="165"/>
      <c r="H185" s="101" t="s">
        <v>984</v>
      </c>
      <c r="I185" s="101" t="str">
        <f>VLOOKUP(H185,Presupuesto!$B$11:$C$565,2,0)</f>
        <v>EQUIPOS VARIOS DE OFICINA</v>
      </c>
      <c r="J185" s="98" t="str">
        <f t="shared" ref="J185:J196" si="15">$J$183</f>
        <v>Posgrado</v>
      </c>
      <c r="K185" s="98" t="s">
        <v>393</v>
      </c>
      <c r="L185" s="98"/>
    </row>
    <row r="186" spans="3:12" x14ac:dyDescent="0.25">
      <c r="C186" s="99" t="s">
        <v>74</v>
      </c>
      <c r="D186" s="151"/>
      <c r="E186" s="100">
        <v>8000</v>
      </c>
      <c r="F186" s="97">
        <f t="shared" si="14"/>
        <v>0</v>
      </c>
      <c r="G186" s="165"/>
      <c r="H186" s="101" t="s">
        <v>1012</v>
      </c>
      <c r="I186" s="101" t="str">
        <f>VLOOKUP(H186,Presupuesto!$B$11:$C$565,2,0)</f>
        <v>EQUIPO DE COMPUTACION</v>
      </c>
      <c r="J186" s="98" t="str">
        <f t="shared" si="15"/>
        <v>Posgrado</v>
      </c>
      <c r="K186" s="98" t="s">
        <v>393</v>
      </c>
      <c r="L186" s="98"/>
    </row>
    <row r="187" spans="3:12" x14ac:dyDescent="0.25">
      <c r="C187" s="99" t="s">
        <v>75</v>
      </c>
      <c r="D187" s="151"/>
      <c r="E187" s="100">
        <v>5000</v>
      </c>
      <c r="F187" s="97">
        <f t="shared" si="14"/>
        <v>0</v>
      </c>
      <c r="G187" s="165"/>
      <c r="H187" s="101" t="s">
        <v>1012</v>
      </c>
      <c r="I187" s="101" t="str">
        <f>VLOOKUP(H187,Presupuesto!$B$11:$C$565,2,0)</f>
        <v>EQUIPO DE COMPUTACION</v>
      </c>
      <c r="J187" s="98" t="str">
        <f t="shared" si="15"/>
        <v>Posgrado</v>
      </c>
      <c r="K187" s="98" t="s">
        <v>393</v>
      </c>
      <c r="L187" s="98"/>
    </row>
    <row r="188" spans="3:12" x14ac:dyDescent="0.25">
      <c r="C188" s="99" t="s">
        <v>35</v>
      </c>
      <c r="D188" s="151"/>
      <c r="E188" s="100">
        <v>13000</v>
      </c>
      <c r="F188" s="97">
        <f t="shared" si="14"/>
        <v>0</v>
      </c>
      <c r="G188" s="165"/>
      <c r="H188" s="101" t="s">
        <v>998</v>
      </c>
      <c r="I188" s="101" t="str">
        <f>VLOOKUP(H188,Presupuesto!$B$11:$C$565,2,0)</f>
        <v>EQUIPO DE TRANSPORTE TRACCION Y ELEVACION</v>
      </c>
      <c r="J188" s="98" t="str">
        <f t="shared" si="15"/>
        <v>Posgrado</v>
      </c>
      <c r="K188" s="98" t="s">
        <v>393</v>
      </c>
      <c r="L188" s="98"/>
    </row>
    <row r="189" spans="3:12" x14ac:dyDescent="0.25">
      <c r="C189" s="99" t="s">
        <v>76</v>
      </c>
      <c r="D189" s="151"/>
      <c r="E189" s="100">
        <v>15000</v>
      </c>
      <c r="F189" s="97">
        <f t="shared" si="14"/>
        <v>0</v>
      </c>
      <c r="G189" s="165"/>
      <c r="H189" s="101" t="s">
        <v>998</v>
      </c>
      <c r="I189" s="101" t="str">
        <f>VLOOKUP(H189,Presupuesto!$B$11:$C$565,2,0)</f>
        <v>EQUIPO DE TRANSPORTE TRACCION Y ELEVACION</v>
      </c>
      <c r="J189" s="98" t="str">
        <f t="shared" si="15"/>
        <v>Posgrado</v>
      </c>
      <c r="K189" s="98" t="s">
        <v>393</v>
      </c>
      <c r="L189" s="98"/>
    </row>
    <row r="190" spans="3:12" x14ac:dyDescent="0.25">
      <c r="C190" s="99" t="s">
        <v>77</v>
      </c>
      <c r="D190" s="151"/>
      <c r="E190" s="100">
        <v>10000</v>
      </c>
      <c r="F190" s="97">
        <f t="shared" si="14"/>
        <v>0</v>
      </c>
      <c r="G190" s="165"/>
      <c r="H190" s="101" t="s">
        <v>998</v>
      </c>
      <c r="I190" s="101" t="str">
        <f>VLOOKUP(H190,Presupuesto!$B$11:$C$565,2,0)</f>
        <v>EQUIPO DE TRANSPORTE TRACCION Y ELEVACION</v>
      </c>
      <c r="J190" s="98" t="str">
        <f t="shared" si="15"/>
        <v>Posgrado</v>
      </c>
      <c r="K190" s="98" t="s">
        <v>401</v>
      </c>
      <c r="L190" s="98"/>
    </row>
    <row r="191" spans="3:12" x14ac:dyDescent="0.25">
      <c r="C191" s="99" t="s">
        <v>78</v>
      </c>
      <c r="D191" s="151"/>
      <c r="E191" s="100">
        <v>10000</v>
      </c>
      <c r="F191" s="97">
        <f t="shared" si="14"/>
        <v>0</v>
      </c>
      <c r="G191" s="165"/>
      <c r="H191" s="101" t="s">
        <v>1044</v>
      </c>
      <c r="I191" s="101" t="str">
        <f>VLOOKUP(H191,Presupuesto!$B$11:$C$565,2,0)</f>
        <v>APLICACIONES INFORMATICAS</v>
      </c>
      <c r="J191" s="98" t="str">
        <f t="shared" si="15"/>
        <v>Posgrado</v>
      </c>
      <c r="K191" s="98" t="s">
        <v>397</v>
      </c>
      <c r="L191" s="98"/>
    </row>
    <row r="192" spans="3:12" x14ac:dyDescent="0.25">
      <c r="C192" s="109" t="s">
        <v>79</v>
      </c>
      <c r="D192" s="151"/>
      <c r="E192" s="100">
        <v>2000</v>
      </c>
      <c r="F192" s="97">
        <f t="shared" si="14"/>
        <v>0</v>
      </c>
      <c r="G192" s="165"/>
      <c r="H192" s="110" t="s">
        <v>1012</v>
      </c>
      <c r="I192" s="110" t="str">
        <f>VLOOKUP(H192,Presupuesto!$B$11:$C$565,2,0)</f>
        <v>EQUIPO DE COMPUTACION</v>
      </c>
      <c r="J192" s="98" t="str">
        <f t="shared" si="15"/>
        <v>Posgrado</v>
      </c>
      <c r="K192" s="98" t="s">
        <v>393</v>
      </c>
      <c r="L192" s="98"/>
    </row>
    <row r="193" spans="3:12" x14ac:dyDescent="0.25">
      <c r="C193" s="109" t="s">
        <v>1471</v>
      </c>
      <c r="D193" s="151"/>
      <c r="E193" s="100">
        <v>1500</v>
      </c>
      <c r="F193" s="97">
        <f t="shared" si="14"/>
        <v>0</v>
      </c>
      <c r="G193" s="165"/>
      <c r="H193" s="110" t="s">
        <v>944</v>
      </c>
      <c r="I193" s="110" t="str">
        <f>VLOOKUP(H193,Presupuesto!$B$11:$C$565,2,0)</f>
        <v>UTILES Y MATERIALES ELECTRICOS</v>
      </c>
      <c r="J193" s="98" t="str">
        <f t="shared" si="15"/>
        <v>Posgrado</v>
      </c>
      <c r="K193" s="98" t="s">
        <v>393</v>
      </c>
      <c r="L193" s="98"/>
    </row>
    <row r="194" spans="3:12" x14ac:dyDescent="0.25">
      <c r="C194" s="109" t="s">
        <v>80</v>
      </c>
      <c r="D194" s="151"/>
      <c r="E194" s="100">
        <v>1500</v>
      </c>
      <c r="F194" s="97">
        <f t="shared" si="14"/>
        <v>0</v>
      </c>
      <c r="G194" s="165"/>
      <c r="H194" s="110" t="s">
        <v>1012</v>
      </c>
      <c r="I194" s="110" t="str">
        <f>VLOOKUP(H194,Presupuesto!$B$11:$C$565,2,0)</f>
        <v>EQUIPO DE COMPUTACION</v>
      </c>
      <c r="J194" s="98" t="str">
        <f t="shared" si="15"/>
        <v>Posgrado</v>
      </c>
      <c r="K194" s="98" t="s">
        <v>393</v>
      </c>
      <c r="L194" s="98"/>
    </row>
    <row r="195" spans="3:12" x14ac:dyDescent="0.25">
      <c r="C195" s="109" t="s">
        <v>81</v>
      </c>
      <c r="D195" s="151"/>
      <c r="E195" s="100">
        <v>500</v>
      </c>
      <c r="F195" s="97">
        <f t="shared" si="14"/>
        <v>0</v>
      </c>
      <c r="G195" s="165"/>
      <c r="H195" s="110" t="s">
        <v>953</v>
      </c>
      <c r="I195" s="110" t="str">
        <f>VLOOKUP(H195,Presupuesto!$B$11:$C$565,2,0)</f>
        <v>OTROS RESPUESTOS Y ACCESORIOS MENORES</v>
      </c>
      <c r="J195" s="98" t="str">
        <f t="shared" si="15"/>
        <v>Posgrado</v>
      </c>
      <c r="K195" s="98" t="s">
        <v>393</v>
      </c>
      <c r="L195" s="98"/>
    </row>
    <row r="196" spans="3:12" ht="15.75" thickBot="1" x14ac:dyDescent="0.3">
      <c r="C196" s="102" t="s">
        <v>82</v>
      </c>
      <c r="D196" s="159"/>
      <c r="E196" s="104">
        <v>20</v>
      </c>
      <c r="F196" s="105">
        <f t="shared" si="14"/>
        <v>0</v>
      </c>
      <c r="G196" s="162"/>
      <c r="H196" s="106" t="s">
        <v>953</v>
      </c>
      <c r="I196" s="106" t="str">
        <f>VLOOKUP(H196,Presupuesto!$B$11:$C$565,2,0)</f>
        <v>OTROS RESPUESTOS Y ACCESORIOS MENORES</v>
      </c>
      <c r="J196" s="106" t="str">
        <f t="shared" si="15"/>
        <v>Posgrado</v>
      </c>
      <c r="K196" s="124" t="s">
        <v>392</v>
      </c>
      <c r="L196" s="124"/>
    </row>
    <row r="198" spans="3:12" ht="15.75" thickBot="1" x14ac:dyDescent="0.3"/>
    <row r="199" spans="3:12" ht="15.75" thickBot="1" x14ac:dyDescent="0.3">
      <c r="C199" s="29" t="s">
        <v>43</v>
      </c>
      <c r="D199" s="108">
        <f>SUM(F206:F219)</f>
        <v>0</v>
      </c>
      <c r="F199" s="70"/>
      <c r="G199" s="79"/>
      <c r="H199" s="70"/>
      <c r="I199" s="70"/>
    </row>
    <row r="200" spans="3:12" x14ac:dyDescent="0.25">
      <c r="C200" s="70"/>
      <c r="D200" s="31"/>
      <c r="E200" s="93"/>
      <c r="F200" s="93"/>
      <c r="G200" s="93"/>
      <c r="H200" s="76"/>
      <c r="I200" s="76"/>
      <c r="J200" s="76"/>
      <c r="K200" s="112"/>
    </row>
    <row r="201" spans="3:12" x14ac:dyDescent="0.25">
      <c r="C201" s="70"/>
      <c r="D201" s="31"/>
      <c r="E201" s="93"/>
      <c r="F201" s="93"/>
      <c r="G201" s="93"/>
      <c r="H201" s="76"/>
      <c r="I201" s="76"/>
      <c r="J201" s="76"/>
      <c r="K201" s="112"/>
    </row>
    <row r="202" spans="3:12" ht="15.75" x14ac:dyDescent="0.25">
      <c r="C202" s="202" t="s">
        <v>390</v>
      </c>
      <c r="D202" s="368"/>
      <c r="E202" s="93"/>
      <c r="F202" s="93"/>
      <c r="G202" s="93"/>
      <c r="H202" s="76"/>
      <c r="I202" s="76"/>
      <c r="J202" s="76"/>
      <c r="K202" s="112"/>
    </row>
    <row r="203" spans="3:12" ht="18.75" x14ac:dyDescent="0.25">
      <c r="C203" s="210" t="e">
        <f>IFERROR(VLOOKUP(D202,'1. Desarrollo e Innov. Curricu.'!$F:$G,2,FALSE),IFERROR(VLOOKUP(D202,'2. Investigación Científica'!$F:$G,2,FALSE),IFERROR(VLOOKUP(D202,'3. Vinculación Univ. Sociedad'!$F:$G,2,FALSE),IFERROR(VLOOKUP(D202,'4. Docencia y Profesorado Univ.'!$F:$G,2,FALSE),IFERROR(VLOOKUP(D202,'5. Estudiantes y Graduados'!$F:$G,2,FALSE),IFERROR(VLOOKUP(D202,'11. Gestion Administrativa'!$F:$G,2,FALSE),IFERROR(VLOOKUP(D202,'13. Gestión Académica'!$F:$G,2,FALSE),IFERROR(VLOOKUP(D202,'9. Asegura. de la Calid. y M'!$F:$G,2,FALSE),IFERROR(VLOOKUP(D202,'6. Gestión del Conocimiento'!$F:$G,2,FALSE),IFERROR(VLOOKUP(D202,'15. Gobernabilidad y Proceso...'!$G:$H,2,FALSE),IFERROR(VLOOKUP(D202,'12. Gestión del Talento Humano'!$F:$G,2,FALSE),IFERROR(VLOOKUP(D202,'14. Internacional... de la E.S.'!$F:$G,2,FALSE),IFERROR(VLOOKUP(D202,'10. Posgrado'!$F:$G,2,FALSE),IFERROR(VLOOKUP(D202,'16. Desa. del Sistema Educ.Sup.'!$F:$G,2,FALSE),IFERROR(VLOOKUP(D202,'8. Cultura de Inno. Insti...'!$F:$G,2,FALSE),VLOOKUP(D202,'7. Lo Esencial de la Reforma U.'!$G:$H,2,0))))))))))))))))</f>
        <v>#N/A</v>
      </c>
      <c r="D203" s="31"/>
      <c r="E203" s="93"/>
      <c r="F203" s="93"/>
      <c r="G203" s="93"/>
      <c r="H203" s="76"/>
      <c r="I203" s="76"/>
      <c r="J203" s="76"/>
      <c r="K203" s="112"/>
    </row>
    <row r="204" spans="3:12" x14ac:dyDescent="0.25">
      <c r="F204" s="93"/>
      <c r="G204" s="76"/>
      <c r="H204" s="76"/>
      <c r="I204" s="76"/>
    </row>
    <row r="205" spans="3:12" ht="30.75" thickBot="1" x14ac:dyDescent="0.3">
      <c r="C205" s="149" t="s">
        <v>44</v>
      </c>
      <c r="D205" s="149" t="s">
        <v>55</v>
      </c>
      <c r="E205" s="149" t="s">
        <v>57</v>
      </c>
      <c r="F205" s="150" t="s">
        <v>27</v>
      </c>
      <c r="G205" s="150" t="s">
        <v>129</v>
      </c>
      <c r="H205" s="149" t="s">
        <v>46</v>
      </c>
      <c r="I205" s="149" t="s">
        <v>130</v>
      </c>
      <c r="J205" s="149" t="s">
        <v>408</v>
      </c>
      <c r="K205" s="149" t="s">
        <v>409</v>
      </c>
      <c r="L205" s="149" t="s">
        <v>462</v>
      </c>
    </row>
    <row r="206" spans="3:12" ht="15.75" thickBot="1" x14ac:dyDescent="0.3">
      <c r="C206" s="304" t="s">
        <v>1337</v>
      </c>
      <c r="D206" s="158"/>
      <c r="E206" s="96">
        <f>HLOOKUP($C206,$CB$2:$CE$3,2,0)</f>
        <v>15000</v>
      </c>
      <c r="F206" s="97">
        <f>D206*E206</f>
        <v>0</v>
      </c>
      <c r="G206" s="165"/>
      <c r="H206" s="98" t="s">
        <v>1012</v>
      </c>
      <c r="I206" s="98" t="str">
        <f>VLOOKUP(H206,Presupuesto!$B$11:$C$565,2,0)</f>
        <v>EQUIPO DE COMPUTACION</v>
      </c>
      <c r="J206" s="218" t="s">
        <v>1443</v>
      </c>
      <c r="K206" s="98" t="s">
        <v>392</v>
      </c>
      <c r="L206" s="98"/>
    </row>
    <row r="207" spans="3:12" x14ac:dyDescent="0.25">
      <c r="C207" s="304" t="s">
        <v>1335</v>
      </c>
      <c r="D207" s="151"/>
      <c r="E207" s="96">
        <f>HLOOKUP($C207,$CB$2:$CE$3,2,0)</f>
        <v>35000</v>
      </c>
      <c r="F207" s="97">
        <f>D207*E207</f>
        <v>0</v>
      </c>
      <c r="G207" s="165"/>
      <c r="H207" s="101" t="s">
        <v>1012</v>
      </c>
      <c r="I207" s="101" t="str">
        <f>VLOOKUP(H207,Presupuesto!$B$11:$C$565,2,0)</f>
        <v>EQUIPO DE COMPUTACION</v>
      </c>
      <c r="J207" s="98" t="str">
        <f>$J$206</f>
        <v>Posgrado</v>
      </c>
      <c r="K207" s="98" t="s">
        <v>410</v>
      </c>
      <c r="L207" s="98"/>
    </row>
    <row r="208" spans="3:12" x14ac:dyDescent="0.25">
      <c r="C208" s="99" t="s">
        <v>73</v>
      </c>
      <c r="D208" s="151"/>
      <c r="E208" s="100">
        <v>4000</v>
      </c>
      <c r="F208" s="97">
        <f t="shared" ref="F208:F219" si="16">D208*E208</f>
        <v>0</v>
      </c>
      <c r="G208" s="165"/>
      <c r="H208" s="101" t="s">
        <v>984</v>
      </c>
      <c r="I208" s="101" t="str">
        <f>VLOOKUP(H208,Presupuesto!$B$11:$C$565,2,0)</f>
        <v>EQUIPOS VARIOS DE OFICINA</v>
      </c>
      <c r="J208" s="98" t="str">
        <f t="shared" ref="J208:J219" si="17">$J$206</f>
        <v>Posgrado</v>
      </c>
      <c r="K208" s="98" t="s">
        <v>393</v>
      </c>
      <c r="L208" s="98"/>
    </row>
    <row r="209" spans="3:12" x14ac:dyDescent="0.25">
      <c r="C209" s="99" t="s">
        <v>74</v>
      </c>
      <c r="D209" s="151"/>
      <c r="E209" s="100">
        <v>8000</v>
      </c>
      <c r="F209" s="97">
        <f t="shared" si="16"/>
        <v>0</v>
      </c>
      <c r="G209" s="165"/>
      <c r="H209" s="101" t="s">
        <v>1012</v>
      </c>
      <c r="I209" s="101" t="str">
        <f>VLOOKUP(H209,Presupuesto!$B$11:$C$565,2,0)</f>
        <v>EQUIPO DE COMPUTACION</v>
      </c>
      <c r="J209" s="98" t="str">
        <f t="shared" si="17"/>
        <v>Posgrado</v>
      </c>
      <c r="K209" s="98" t="s">
        <v>393</v>
      </c>
      <c r="L209" s="98"/>
    </row>
    <row r="210" spans="3:12" x14ac:dyDescent="0.25">
      <c r="C210" s="99" t="s">
        <v>75</v>
      </c>
      <c r="D210" s="151"/>
      <c r="E210" s="100">
        <v>5000</v>
      </c>
      <c r="F210" s="97">
        <f t="shared" si="16"/>
        <v>0</v>
      </c>
      <c r="G210" s="165"/>
      <c r="H210" s="101" t="s">
        <v>1012</v>
      </c>
      <c r="I210" s="101" t="str">
        <f>VLOOKUP(H210,Presupuesto!$B$11:$C$565,2,0)</f>
        <v>EQUIPO DE COMPUTACION</v>
      </c>
      <c r="J210" s="98" t="str">
        <f t="shared" si="17"/>
        <v>Posgrado</v>
      </c>
      <c r="K210" s="98" t="s">
        <v>393</v>
      </c>
      <c r="L210" s="98"/>
    </row>
    <row r="211" spans="3:12" x14ac:dyDescent="0.25">
      <c r="C211" s="99" t="s">
        <v>35</v>
      </c>
      <c r="D211" s="151"/>
      <c r="E211" s="100">
        <v>13000</v>
      </c>
      <c r="F211" s="97">
        <f t="shared" si="16"/>
        <v>0</v>
      </c>
      <c r="G211" s="165"/>
      <c r="H211" s="101" t="s">
        <v>998</v>
      </c>
      <c r="I211" s="101" t="str">
        <f>VLOOKUP(H211,Presupuesto!$B$11:$C$565,2,0)</f>
        <v>EQUIPO DE TRANSPORTE TRACCION Y ELEVACION</v>
      </c>
      <c r="J211" s="98" t="str">
        <f t="shared" si="17"/>
        <v>Posgrado</v>
      </c>
      <c r="K211" s="98" t="s">
        <v>393</v>
      </c>
      <c r="L211" s="98"/>
    </row>
    <row r="212" spans="3:12" x14ac:dyDescent="0.25">
      <c r="C212" s="99" t="s">
        <v>76</v>
      </c>
      <c r="D212" s="151"/>
      <c r="E212" s="100">
        <v>15000</v>
      </c>
      <c r="F212" s="97">
        <f t="shared" si="16"/>
        <v>0</v>
      </c>
      <c r="G212" s="165"/>
      <c r="H212" s="101" t="s">
        <v>998</v>
      </c>
      <c r="I212" s="101" t="str">
        <f>VLOOKUP(H212,Presupuesto!$B$11:$C$565,2,0)</f>
        <v>EQUIPO DE TRANSPORTE TRACCION Y ELEVACION</v>
      </c>
      <c r="J212" s="98" t="str">
        <f t="shared" si="17"/>
        <v>Posgrado</v>
      </c>
      <c r="K212" s="98" t="s">
        <v>393</v>
      </c>
      <c r="L212" s="98"/>
    </row>
    <row r="213" spans="3:12" x14ac:dyDescent="0.25">
      <c r="C213" s="99" t="s">
        <v>77</v>
      </c>
      <c r="D213" s="151"/>
      <c r="E213" s="100">
        <v>10000</v>
      </c>
      <c r="F213" s="97">
        <f t="shared" si="16"/>
        <v>0</v>
      </c>
      <c r="G213" s="165"/>
      <c r="H213" s="101" t="s">
        <v>998</v>
      </c>
      <c r="I213" s="101" t="str">
        <f>VLOOKUP(H213,Presupuesto!$B$11:$C$565,2,0)</f>
        <v>EQUIPO DE TRANSPORTE TRACCION Y ELEVACION</v>
      </c>
      <c r="J213" s="98" t="str">
        <f t="shared" si="17"/>
        <v>Posgrado</v>
      </c>
      <c r="K213" s="98" t="s">
        <v>401</v>
      </c>
      <c r="L213" s="98"/>
    </row>
    <row r="214" spans="3:12" x14ac:dyDescent="0.25">
      <c r="C214" s="99" t="s">
        <v>78</v>
      </c>
      <c r="D214" s="151"/>
      <c r="E214" s="100">
        <v>10000</v>
      </c>
      <c r="F214" s="97">
        <f t="shared" si="16"/>
        <v>0</v>
      </c>
      <c r="G214" s="165"/>
      <c r="H214" s="101" t="s">
        <v>1044</v>
      </c>
      <c r="I214" s="101" t="str">
        <f>VLOOKUP(H214,Presupuesto!$B$11:$C$565,2,0)</f>
        <v>APLICACIONES INFORMATICAS</v>
      </c>
      <c r="J214" s="98" t="str">
        <f t="shared" si="17"/>
        <v>Posgrado</v>
      </c>
      <c r="K214" s="98" t="s">
        <v>397</v>
      </c>
      <c r="L214" s="98"/>
    </row>
    <row r="215" spans="3:12" x14ac:dyDescent="0.25">
      <c r="C215" s="109" t="s">
        <v>79</v>
      </c>
      <c r="D215" s="151"/>
      <c r="E215" s="100">
        <v>2000</v>
      </c>
      <c r="F215" s="97">
        <f t="shared" si="16"/>
        <v>0</v>
      </c>
      <c r="G215" s="165"/>
      <c r="H215" s="110" t="s">
        <v>1012</v>
      </c>
      <c r="I215" s="110" t="str">
        <f>VLOOKUP(H215,Presupuesto!$B$11:$C$565,2,0)</f>
        <v>EQUIPO DE COMPUTACION</v>
      </c>
      <c r="J215" s="98" t="str">
        <f t="shared" si="17"/>
        <v>Posgrado</v>
      </c>
      <c r="K215" s="98" t="s">
        <v>393</v>
      </c>
      <c r="L215" s="98"/>
    </row>
    <row r="216" spans="3:12" x14ac:dyDescent="0.25">
      <c r="C216" s="109" t="s">
        <v>1471</v>
      </c>
      <c r="D216" s="151"/>
      <c r="E216" s="100">
        <v>1500</v>
      </c>
      <c r="F216" s="97">
        <f t="shared" si="16"/>
        <v>0</v>
      </c>
      <c r="G216" s="165"/>
      <c r="H216" s="110" t="s">
        <v>944</v>
      </c>
      <c r="I216" s="110" t="str">
        <f>VLOOKUP(H216,Presupuesto!$B$11:$C$565,2,0)</f>
        <v>UTILES Y MATERIALES ELECTRICOS</v>
      </c>
      <c r="J216" s="98" t="str">
        <f t="shared" si="17"/>
        <v>Posgrado</v>
      </c>
      <c r="K216" s="98" t="s">
        <v>393</v>
      </c>
      <c r="L216" s="98"/>
    </row>
    <row r="217" spans="3:12" x14ac:dyDescent="0.25">
      <c r="C217" s="109" t="s">
        <v>80</v>
      </c>
      <c r="D217" s="151"/>
      <c r="E217" s="100">
        <v>1500</v>
      </c>
      <c r="F217" s="97">
        <f t="shared" si="16"/>
        <v>0</v>
      </c>
      <c r="G217" s="165"/>
      <c r="H217" s="110" t="s">
        <v>1012</v>
      </c>
      <c r="I217" s="110" t="str">
        <f>VLOOKUP(H217,Presupuesto!$B$11:$C$565,2,0)</f>
        <v>EQUIPO DE COMPUTACION</v>
      </c>
      <c r="J217" s="98" t="str">
        <f t="shared" si="17"/>
        <v>Posgrado</v>
      </c>
      <c r="K217" s="98" t="s">
        <v>393</v>
      </c>
      <c r="L217" s="98"/>
    </row>
    <row r="218" spans="3:12" x14ac:dyDescent="0.25">
      <c r="C218" s="109" t="s">
        <v>81</v>
      </c>
      <c r="D218" s="151"/>
      <c r="E218" s="100">
        <v>500</v>
      </c>
      <c r="F218" s="97">
        <f t="shared" si="16"/>
        <v>0</v>
      </c>
      <c r="G218" s="165"/>
      <c r="H218" s="110" t="s">
        <v>953</v>
      </c>
      <c r="I218" s="110" t="str">
        <f>VLOOKUP(H218,Presupuesto!$B$11:$C$565,2,0)</f>
        <v>OTROS RESPUESTOS Y ACCESORIOS MENORES</v>
      </c>
      <c r="J218" s="98" t="str">
        <f t="shared" si="17"/>
        <v>Posgrado</v>
      </c>
      <c r="K218" s="98" t="s">
        <v>393</v>
      </c>
      <c r="L218" s="98"/>
    </row>
    <row r="219" spans="3:12" ht="15.75" thickBot="1" x14ac:dyDescent="0.3">
      <c r="C219" s="102" t="s">
        <v>82</v>
      </c>
      <c r="D219" s="159"/>
      <c r="E219" s="104">
        <v>20</v>
      </c>
      <c r="F219" s="105">
        <f t="shared" si="16"/>
        <v>0</v>
      </c>
      <c r="G219" s="162"/>
      <c r="H219" s="106" t="s">
        <v>953</v>
      </c>
      <c r="I219" s="106" t="str">
        <f>VLOOKUP(H219,Presupuesto!$B$11:$C$565,2,0)</f>
        <v>OTROS RESPUESTOS Y ACCESORIOS MENORES</v>
      </c>
      <c r="J219" s="106" t="str">
        <f t="shared" si="17"/>
        <v>Posgrado</v>
      </c>
      <c r="K219" s="124" t="s">
        <v>392</v>
      </c>
      <c r="L219" s="124"/>
    </row>
    <row r="220" spans="3:12" x14ac:dyDescent="0.25">
      <c r="F220" s="93"/>
      <c r="G220" s="76"/>
      <c r="H220" s="76"/>
      <c r="I220" s="76"/>
    </row>
    <row r="221" spans="3:12" ht="15.75" thickBot="1" x14ac:dyDescent="0.3"/>
    <row r="222" spans="3:12" ht="15.75" thickBot="1" x14ac:dyDescent="0.3">
      <c r="C222" s="29" t="s">
        <v>43</v>
      </c>
      <c r="D222" s="108">
        <f>SUM(F229:F242)</f>
        <v>0</v>
      </c>
      <c r="F222" s="70"/>
      <c r="G222" s="79"/>
      <c r="H222" s="70"/>
      <c r="I222" s="70"/>
    </row>
    <row r="223" spans="3:12" x14ac:dyDescent="0.25">
      <c r="C223" s="70"/>
      <c r="D223" s="31"/>
      <c r="E223" s="93"/>
      <c r="F223" s="93"/>
      <c r="G223" s="93"/>
      <c r="H223" s="76"/>
      <c r="I223" s="76"/>
      <c r="J223" s="76"/>
      <c r="K223" s="112"/>
    </row>
    <row r="224" spans="3:12" x14ac:dyDescent="0.25">
      <c r="C224" s="70"/>
      <c r="D224" s="31"/>
      <c r="E224" s="93"/>
      <c r="F224" s="93"/>
      <c r="G224" s="93"/>
      <c r="H224" s="76"/>
      <c r="I224" s="76"/>
      <c r="J224" s="76"/>
      <c r="K224" s="112"/>
    </row>
    <row r="225" spans="3:12" ht="15.75" x14ac:dyDescent="0.25">
      <c r="C225" s="202" t="s">
        <v>390</v>
      </c>
      <c r="D225" s="368"/>
      <c r="E225" s="93"/>
      <c r="F225" s="93"/>
      <c r="G225" s="93"/>
      <c r="H225" s="76"/>
      <c r="I225" s="76"/>
      <c r="J225" s="76"/>
      <c r="K225" s="112"/>
    </row>
    <row r="226" spans="3:12" ht="18.75" x14ac:dyDescent="0.25">
      <c r="C226" s="210" t="e">
        <f>IFERROR(VLOOKUP(D225,'1. Desarrollo e Innov. Curricu.'!$F:$G,2,FALSE),IFERROR(VLOOKUP(D225,'2. Investigación Científica'!$F:$G,2,FALSE),IFERROR(VLOOKUP(D225,'3. Vinculación Univ. Sociedad'!$F:$G,2,FALSE),IFERROR(VLOOKUP(D225,'4. Docencia y Profesorado Univ.'!$F:$G,2,FALSE),IFERROR(VLOOKUP(D225,'5. Estudiantes y Graduados'!$F:$G,2,FALSE),IFERROR(VLOOKUP(D225,'11. Gestion Administrativa'!$F:$G,2,FALSE),IFERROR(VLOOKUP(D225,'13. Gestión Académica'!$F:$G,2,FALSE),IFERROR(VLOOKUP(D225,'9. Asegura. de la Calid. y M'!$F:$G,2,FALSE),IFERROR(VLOOKUP(D225,'6. Gestión del Conocimiento'!$F:$G,2,FALSE),IFERROR(VLOOKUP(D225,'15. Gobernabilidad y Proceso...'!$G:$H,2,FALSE),IFERROR(VLOOKUP(D225,'12. Gestión del Talento Humano'!$F:$G,2,FALSE),IFERROR(VLOOKUP(D225,'14. Internacional... de la E.S.'!$F:$G,2,FALSE),IFERROR(VLOOKUP(D225,'10. Posgrado'!$F:$G,2,FALSE),IFERROR(VLOOKUP(D225,'16. Desa. del Sistema Educ.Sup.'!$F:$G,2,FALSE),IFERROR(VLOOKUP(D225,'8. Cultura de Inno. Insti...'!$F:$G,2,FALSE),VLOOKUP(D225,'7. Lo Esencial de la Reforma U.'!$G:$H,2,0))))))))))))))))</f>
        <v>#N/A</v>
      </c>
      <c r="D226" s="31"/>
      <c r="E226" s="93"/>
      <c r="F226" s="93"/>
      <c r="G226" s="93"/>
      <c r="H226" s="76"/>
      <c r="I226" s="76"/>
      <c r="J226" s="76"/>
      <c r="K226" s="112"/>
    </row>
    <row r="227" spans="3:12" x14ac:dyDescent="0.25">
      <c r="F227" s="93"/>
      <c r="G227" s="76"/>
      <c r="H227" s="76"/>
      <c r="I227" s="76"/>
    </row>
    <row r="228" spans="3:12" ht="30.75" thickBot="1" x14ac:dyDescent="0.3">
      <c r="C228" s="149" t="s">
        <v>44</v>
      </c>
      <c r="D228" s="149" t="s">
        <v>55</v>
      </c>
      <c r="E228" s="149" t="s">
        <v>57</v>
      </c>
      <c r="F228" s="150" t="s">
        <v>27</v>
      </c>
      <c r="G228" s="150" t="s">
        <v>129</v>
      </c>
      <c r="H228" s="149" t="s">
        <v>46</v>
      </c>
      <c r="I228" s="149" t="s">
        <v>130</v>
      </c>
      <c r="J228" s="149" t="s">
        <v>408</v>
      </c>
      <c r="K228" s="149" t="s">
        <v>409</v>
      </c>
      <c r="L228" s="149" t="s">
        <v>462</v>
      </c>
    </row>
    <row r="229" spans="3:12" ht="15.75" thickBot="1" x14ac:dyDescent="0.3">
      <c r="C229" s="304" t="s">
        <v>1337</v>
      </c>
      <c r="D229" s="158"/>
      <c r="E229" s="96">
        <f>HLOOKUP($C229,$CB$2:$CE$3,2,0)</f>
        <v>15000</v>
      </c>
      <c r="F229" s="97">
        <f>D229*E229</f>
        <v>0</v>
      </c>
      <c r="G229" s="165"/>
      <c r="H229" s="98" t="s">
        <v>1012</v>
      </c>
      <c r="I229" s="98" t="str">
        <f>VLOOKUP(H229,Presupuesto!$B$11:$C$565,2,0)</f>
        <v>EQUIPO DE COMPUTACION</v>
      </c>
      <c r="J229" s="218" t="s">
        <v>1443</v>
      </c>
      <c r="K229" s="98" t="s">
        <v>392</v>
      </c>
      <c r="L229" s="98"/>
    </row>
    <row r="230" spans="3:12" x14ac:dyDescent="0.25">
      <c r="C230" s="304" t="s">
        <v>1335</v>
      </c>
      <c r="D230" s="151"/>
      <c r="E230" s="96">
        <f>HLOOKUP($C230,$CB$2:$CE$3,2,0)</f>
        <v>35000</v>
      </c>
      <c r="F230" s="97">
        <f>D230*E230</f>
        <v>0</v>
      </c>
      <c r="G230" s="165"/>
      <c r="H230" s="101" t="s">
        <v>1012</v>
      </c>
      <c r="I230" s="101" t="str">
        <f>VLOOKUP(H230,Presupuesto!$B$11:$C$565,2,0)</f>
        <v>EQUIPO DE COMPUTACION</v>
      </c>
      <c r="J230" s="98" t="str">
        <f>$J$229</f>
        <v>Posgrado</v>
      </c>
      <c r="K230" s="98" t="s">
        <v>410</v>
      </c>
      <c r="L230" s="98"/>
    </row>
    <row r="231" spans="3:12" x14ac:dyDescent="0.25">
      <c r="C231" s="99" t="s">
        <v>73</v>
      </c>
      <c r="D231" s="151"/>
      <c r="E231" s="100">
        <v>4000</v>
      </c>
      <c r="F231" s="97">
        <f t="shared" ref="F231:F242" si="18">D231*E231</f>
        <v>0</v>
      </c>
      <c r="G231" s="165"/>
      <c r="H231" s="101" t="s">
        <v>984</v>
      </c>
      <c r="I231" s="101" t="str">
        <f>VLOOKUP(H231,Presupuesto!$B$11:$C$565,2,0)</f>
        <v>EQUIPOS VARIOS DE OFICINA</v>
      </c>
      <c r="J231" s="98" t="str">
        <f t="shared" ref="J231:J242" si="19">$J$229</f>
        <v>Posgrado</v>
      </c>
      <c r="K231" s="98" t="s">
        <v>393</v>
      </c>
      <c r="L231" s="98"/>
    </row>
    <row r="232" spans="3:12" x14ac:dyDescent="0.25">
      <c r="C232" s="99" t="s">
        <v>74</v>
      </c>
      <c r="D232" s="151"/>
      <c r="E232" s="100">
        <v>8000</v>
      </c>
      <c r="F232" s="97">
        <f t="shared" si="18"/>
        <v>0</v>
      </c>
      <c r="G232" s="165"/>
      <c r="H232" s="101" t="s">
        <v>1012</v>
      </c>
      <c r="I232" s="101" t="str">
        <f>VLOOKUP(H232,Presupuesto!$B$11:$C$565,2,0)</f>
        <v>EQUIPO DE COMPUTACION</v>
      </c>
      <c r="J232" s="98" t="str">
        <f t="shared" si="19"/>
        <v>Posgrado</v>
      </c>
      <c r="K232" s="98" t="s">
        <v>393</v>
      </c>
      <c r="L232" s="98"/>
    </row>
    <row r="233" spans="3:12" x14ac:dyDescent="0.25">
      <c r="C233" s="99" t="s">
        <v>75</v>
      </c>
      <c r="D233" s="151"/>
      <c r="E233" s="100">
        <v>5000</v>
      </c>
      <c r="F233" s="97">
        <f t="shared" si="18"/>
        <v>0</v>
      </c>
      <c r="G233" s="165"/>
      <c r="H233" s="101" t="s">
        <v>1012</v>
      </c>
      <c r="I233" s="101" t="str">
        <f>VLOOKUP(H233,Presupuesto!$B$11:$C$565,2,0)</f>
        <v>EQUIPO DE COMPUTACION</v>
      </c>
      <c r="J233" s="98" t="str">
        <f t="shared" si="19"/>
        <v>Posgrado</v>
      </c>
      <c r="K233" s="98" t="s">
        <v>393</v>
      </c>
      <c r="L233" s="98"/>
    </row>
    <row r="234" spans="3:12" x14ac:dyDescent="0.25">
      <c r="C234" s="99" t="s">
        <v>35</v>
      </c>
      <c r="D234" s="151"/>
      <c r="E234" s="100">
        <v>13000</v>
      </c>
      <c r="F234" s="97">
        <f t="shared" si="18"/>
        <v>0</v>
      </c>
      <c r="G234" s="165"/>
      <c r="H234" s="101" t="s">
        <v>998</v>
      </c>
      <c r="I234" s="101" t="str">
        <f>VLOOKUP(H234,Presupuesto!$B$11:$C$565,2,0)</f>
        <v>EQUIPO DE TRANSPORTE TRACCION Y ELEVACION</v>
      </c>
      <c r="J234" s="98" t="str">
        <f t="shared" si="19"/>
        <v>Posgrado</v>
      </c>
      <c r="K234" s="98" t="s">
        <v>393</v>
      </c>
      <c r="L234" s="98"/>
    </row>
    <row r="235" spans="3:12" x14ac:dyDescent="0.25">
      <c r="C235" s="99" t="s">
        <v>76</v>
      </c>
      <c r="D235" s="151"/>
      <c r="E235" s="100">
        <v>15000</v>
      </c>
      <c r="F235" s="97">
        <f t="shared" si="18"/>
        <v>0</v>
      </c>
      <c r="G235" s="165"/>
      <c r="H235" s="101" t="s">
        <v>998</v>
      </c>
      <c r="I235" s="101" t="str">
        <f>VLOOKUP(H235,Presupuesto!$B$11:$C$565,2,0)</f>
        <v>EQUIPO DE TRANSPORTE TRACCION Y ELEVACION</v>
      </c>
      <c r="J235" s="98" t="str">
        <f t="shared" si="19"/>
        <v>Posgrado</v>
      </c>
      <c r="K235" s="98" t="s">
        <v>393</v>
      </c>
      <c r="L235" s="98"/>
    </row>
    <row r="236" spans="3:12" x14ac:dyDescent="0.25">
      <c r="C236" s="99" t="s">
        <v>77</v>
      </c>
      <c r="D236" s="151"/>
      <c r="E236" s="100">
        <v>10000</v>
      </c>
      <c r="F236" s="97">
        <f t="shared" si="18"/>
        <v>0</v>
      </c>
      <c r="G236" s="165"/>
      <c r="H236" s="101" t="s">
        <v>998</v>
      </c>
      <c r="I236" s="101" t="str">
        <f>VLOOKUP(H236,Presupuesto!$B$11:$C$565,2,0)</f>
        <v>EQUIPO DE TRANSPORTE TRACCION Y ELEVACION</v>
      </c>
      <c r="J236" s="98" t="str">
        <f t="shared" si="19"/>
        <v>Posgrado</v>
      </c>
      <c r="K236" s="98" t="s">
        <v>401</v>
      </c>
      <c r="L236" s="98"/>
    </row>
    <row r="237" spans="3:12" x14ac:dyDescent="0.25">
      <c r="C237" s="99" t="s">
        <v>78</v>
      </c>
      <c r="D237" s="151"/>
      <c r="E237" s="100">
        <v>10000</v>
      </c>
      <c r="F237" s="97">
        <f t="shared" si="18"/>
        <v>0</v>
      </c>
      <c r="G237" s="165"/>
      <c r="H237" s="101" t="s">
        <v>1044</v>
      </c>
      <c r="I237" s="101" t="str">
        <f>VLOOKUP(H237,Presupuesto!$B$11:$C$565,2,0)</f>
        <v>APLICACIONES INFORMATICAS</v>
      </c>
      <c r="J237" s="98" t="str">
        <f t="shared" si="19"/>
        <v>Posgrado</v>
      </c>
      <c r="K237" s="98" t="s">
        <v>397</v>
      </c>
      <c r="L237" s="98"/>
    </row>
    <row r="238" spans="3:12" x14ac:dyDescent="0.25">
      <c r="C238" s="109" t="s">
        <v>79</v>
      </c>
      <c r="D238" s="151"/>
      <c r="E238" s="100">
        <v>2000</v>
      </c>
      <c r="F238" s="97">
        <f t="shared" si="18"/>
        <v>0</v>
      </c>
      <c r="G238" s="165"/>
      <c r="H238" s="110" t="s">
        <v>1012</v>
      </c>
      <c r="I238" s="110" t="str">
        <f>VLOOKUP(H238,Presupuesto!$B$11:$C$565,2,0)</f>
        <v>EQUIPO DE COMPUTACION</v>
      </c>
      <c r="J238" s="98" t="str">
        <f t="shared" si="19"/>
        <v>Posgrado</v>
      </c>
      <c r="K238" s="98" t="s">
        <v>393</v>
      </c>
      <c r="L238" s="98"/>
    </row>
    <row r="239" spans="3:12" x14ac:dyDescent="0.25">
      <c r="C239" s="109" t="s">
        <v>1471</v>
      </c>
      <c r="D239" s="151"/>
      <c r="E239" s="100">
        <v>1500</v>
      </c>
      <c r="F239" s="97">
        <f t="shared" si="18"/>
        <v>0</v>
      </c>
      <c r="G239" s="165"/>
      <c r="H239" s="110" t="s">
        <v>944</v>
      </c>
      <c r="I239" s="110" t="str">
        <f>VLOOKUP(H239,Presupuesto!$B$11:$C$565,2,0)</f>
        <v>UTILES Y MATERIALES ELECTRICOS</v>
      </c>
      <c r="J239" s="98" t="str">
        <f t="shared" si="19"/>
        <v>Posgrado</v>
      </c>
      <c r="K239" s="98" t="s">
        <v>393</v>
      </c>
      <c r="L239" s="98"/>
    </row>
    <row r="240" spans="3:12" x14ac:dyDescent="0.25">
      <c r="C240" s="109" t="s">
        <v>80</v>
      </c>
      <c r="D240" s="151"/>
      <c r="E240" s="100">
        <v>1500</v>
      </c>
      <c r="F240" s="97">
        <f t="shared" si="18"/>
        <v>0</v>
      </c>
      <c r="G240" s="165"/>
      <c r="H240" s="110" t="s">
        <v>1012</v>
      </c>
      <c r="I240" s="110" t="str">
        <f>VLOOKUP(H240,Presupuesto!$B$11:$C$565,2,0)</f>
        <v>EQUIPO DE COMPUTACION</v>
      </c>
      <c r="J240" s="98" t="str">
        <f t="shared" si="19"/>
        <v>Posgrado</v>
      </c>
      <c r="K240" s="98" t="s">
        <v>393</v>
      </c>
      <c r="L240" s="98"/>
    </row>
    <row r="241" spans="3:12" x14ac:dyDescent="0.25">
      <c r="C241" s="109" t="s">
        <v>81</v>
      </c>
      <c r="D241" s="151"/>
      <c r="E241" s="100">
        <v>500</v>
      </c>
      <c r="F241" s="97">
        <f t="shared" si="18"/>
        <v>0</v>
      </c>
      <c r="G241" s="165"/>
      <c r="H241" s="110" t="s">
        <v>953</v>
      </c>
      <c r="I241" s="110" t="str">
        <f>VLOOKUP(H241,Presupuesto!$B$11:$C$565,2,0)</f>
        <v>OTROS RESPUESTOS Y ACCESORIOS MENORES</v>
      </c>
      <c r="J241" s="98" t="str">
        <f t="shared" si="19"/>
        <v>Posgrado</v>
      </c>
      <c r="K241" s="98" t="s">
        <v>393</v>
      </c>
      <c r="L241" s="98"/>
    </row>
    <row r="242" spans="3:12" ht="15.75" thickBot="1" x14ac:dyDescent="0.3">
      <c r="C242" s="102" t="s">
        <v>82</v>
      </c>
      <c r="D242" s="159"/>
      <c r="E242" s="104">
        <v>20</v>
      </c>
      <c r="F242" s="105">
        <f t="shared" si="18"/>
        <v>0</v>
      </c>
      <c r="G242" s="162"/>
      <c r="H242" s="106" t="s">
        <v>953</v>
      </c>
      <c r="I242" s="106" t="str">
        <f>VLOOKUP(H242,Presupuesto!$B$11:$C$565,2,0)</f>
        <v>OTROS RESPUESTOS Y ACCESORIOS MENORES</v>
      </c>
      <c r="J242" s="106" t="str">
        <f t="shared" si="19"/>
        <v>Posgrado</v>
      </c>
      <c r="K242" s="124" t="s">
        <v>392</v>
      </c>
      <c r="L242" s="124"/>
    </row>
    <row r="244" spans="3:12" ht="15.75" thickBot="1" x14ac:dyDescent="0.3"/>
    <row r="245" spans="3:12" ht="15.75" thickBot="1" x14ac:dyDescent="0.3">
      <c r="C245" s="29" t="s">
        <v>43</v>
      </c>
      <c r="D245" s="108">
        <f>SUM(F252:F265)</f>
        <v>0</v>
      </c>
      <c r="F245" s="70"/>
      <c r="G245" s="79"/>
      <c r="H245" s="70"/>
      <c r="I245" s="70"/>
    </row>
    <row r="246" spans="3:12" x14ac:dyDescent="0.25">
      <c r="C246" s="70"/>
      <c r="D246" s="31"/>
      <c r="E246" s="93"/>
      <c r="F246" s="93"/>
      <c r="G246" s="93"/>
      <c r="H246" s="76"/>
      <c r="I246" s="76"/>
      <c r="J246" s="76"/>
      <c r="K246" s="112"/>
    </row>
    <row r="247" spans="3:12" x14ac:dyDescent="0.25">
      <c r="C247" s="70"/>
      <c r="D247" s="31"/>
      <c r="E247" s="93"/>
      <c r="F247" s="93"/>
      <c r="G247" s="93"/>
      <c r="H247" s="76"/>
      <c r="I247" s="76"/>
      <c r="J247" s="76"/>
      <c r="K247" s="112"/>
    </row>
    <row r="248" spans="3:12" ht="15.75" x14ac:dyDescent="0.25">
      <c r="C248" s="202" t="s">
        <v>390</v>
      </c>
      <c r="D248" s="368"/>
      <c r="E248" s="93"/>
      <c r="F248" s="93"/>
      <c r="G248" s="93"/>
      <c r="H248" s="76"/>
      <c r="I248" s="76"/>
      <c r="J248" s="76"/>
      <c r="K248" s="112"/>
    </row>
    <row r="249" spans="3:12" ht="18.75" x14ac:dyDescent="0.25">
      <c r="C249" s="210" t="e">
        <f>IFERROR(VLOOKUP(D248,'1. Desarrollo e Innov. Curricu.'!$F:$G,2,FALSE),IFERROR(VLOOKUP(D248,'2. Investigación Científica'!$F:$G,2,FALSE),IFERROR(VLOOKUP(D248,'3. Vinculación Univ. Sociedad'!$F:$G,2,FALSE),IFERROR(VLOOKUP(D248,'4. Docencia y Profesorado Univ.'!$F:$G,2,FALSE),IFERROR(VLOOKUP(D248,'5. Estudiantes y Graduados'!$F:$G,2,FALSE),IFERROR(VLOOKUP(D248,'11. Gestion Administrativa'!$F:$G,2,FALSE),IFERROR(VLOOKUP(D248,'13. Gestión Académica'!$F:$G,2,FALSE),IFERROR(VLOOKUP(D248,'9. Asegura. de la Calid. y M'!$F:$G,2,FALSE),IFERROR(VLOOKUP(D248,'6. Gestión del Conocimiento'!$F:$G,2,FALSE),IFERROR(VLOOKUP(D248,'15. Gobernabilidad y Proceso...'!$G:$H,2,FALSE),IFERROR(VLOOKUP(D248,'12. Gestión del Talento Humano'!$F:$G,2,FALSE),IFERROR(VLOOKUP(D248,'14. Internacional... de la E.S.'!$F:$G,2,FALSE),IFERROR(VLOOKUP(D248,'10. Posgrado'!$F:$G,2,FALSE),IFERROR(VLOOKUP(D248,'16. Desa. del Sistema Educ.Sup.'!$F:$G,2,FALSE),IFERROR(VLOOKUP(D248,'8. Cultura de Inno. Insti...'!$F:$G,2,FALSE),VLOOKUP(D248,'7. Lo Esencial de la Reforma U.'!$G:$H,2,0))))))))))))))))</f>
        <v>#N/A</v>
      </c>
      <c r="D249" s="31"/>
      <c r="E249" s="93"/>
      <c r="F249" s="93"/>
      <c r="G249" s="93"/>
      <c r="H249" s="76"/>
      <c r="I249" s="76"/>
      <c r="J249" s="76"/>
      <c r="K249" s="112"/>
    </row>
    <row r="250" spans="3:12" x14ac:dyDescent="0.25">
      <c r="F250" s="93"/>
      <c r="G250" s="76"/>
      <c r="H250" s="76"/>
      <c r="I250" s="76"/>
    </row>
    <row r="251" spans="3:12" ht="30.75" thickBot="1" x14ac:dyDescent="0.3">
      <c r="C251" s="149" t="s">
        <v>44</v>
      </c>
      <c r="D251" s="149" t="s">
        <v>55</v>
      </c>
      <c r="E251" s="149" t="s">
        <v>57</v>
      </c>
      <c r="F251" s="150" t="s">
        <v>27</v>
      </c>
      <c r="G251" s="150" t="s">
        <v>129</v>
      </c>
      <c r="H251" s="149" t="s">
        <v>46</v>
      </c>
      <c r="I251" s="149" t="s">
        <v>130</v>
      </c>
      <c r="J251" s="149" t="s">
        <v>408</v>
      </c>
      <c r="K251" s="149" t="s">
        <v>409</v>
      </c>
      <c r="L251" s="149" t="s">
        <v>462</v>
      </c>
    </row>
    <row r="252" spans="3:12" ht="15.75" thickBot="1" x14ac:dyDescent="0.3">
      <c r="C252" s="304" t="s">
        <v>1337</v>
      </c>
      <c r="D252" s="158"/>
      <c r="E252" s="96">
        <f>HLOOKUP($C252,$CB$2:$CE$3,2,0)</f>
        <v>15000</v>
      </c>
      <c r="F252" s="97">
        <f>D252*E252</f>
        <v>0</v>
      </c>
      <c r="G252" s="165"/>
      <c r="H252" s="98" t="s">
        <v>1012</v>
      </c>
      <c r="I252" s="98" t="str">
        <f>VLOOKUP(H252,Presupuesto!$B$11:$C$565,2,0)</f>
        <v>EQUIPO DE COMPUTACION</v>
      </c>
      <c r="J252" s="218" t="s">
        <v>1443</v>
      </c>
      <c r="K252" s="98" t="s">
        <v>392</v>
      </c>
      <c r="L252" s="98"/>
    </row>
    <row r="253" spans="3:12" x14ac:dyDescent="0.25">
      <c r="C253" s="304" t="s">
        <v>1335</v>
      </c>
      <c r="D253" s="151"/>
      <c r="E253" s="96">
        <f>HLOOKUP($C253,$CB$2:$CE$3,2,0)</f>
        <v>35000</v>
      </c>
      <c r="F253" s="97">
        <f>D253*E253</f>
        <v>0</v>
      </c>
      <c r="G253" s="165"/>
      <c r="H253" s="101" t="s">
        <v>1012</v>
      </c>
      <c r="I253" s="101" t="str">
        <f>VLOOKUP(H253,Presupuesto!$B$11:$C$565,2,0)</f>
        <v>EQUIPO DE COMPUTACION</v>
      </c>
      <c r="J253" s="98" t="str">
        <f>$J$252</f>
        <v>Posgrado</v>
      </c>
      <c r="K253" s="98" t="s">
        <v>410</v>
      </c>
      <c r="L253" s="98"/>
    </row>
    <row r="254" spans="3:12" x14ac:dyDescent="0.25">
      <c r="C254" s="99" t="s">
        <v>73</v>
      </c>
      <c r="D254" s="151"/>
      <c r="E254" s="100">
        <v>4000</v>
      </c>
      <c r="F254" s="97">
        <f t="shared" ref="F254:F265" si="20">D254*E254</f>
        <v>0</v>
      </c>
      <c r="G254" s="165"/>
      <c r="H254" s="101" t="s">
        <v>984</v>
      </c>
      <c r="I254" s="101" t="str">
        <f>VLOOKUP(H254,Presupuesto!$B$11:$C$565,2,0)</f>
        <v>EQUIPOS VARIOS DE OFICINA</v>
      </c>
      <c r="J254" s="98" t="str">
        <f t="shared" ref="J254:J265" si="21">$J$252</f>
        <v>Posgrado</v>
      </c>
      <c r="K254" s="98" t="s">
        <v>393</v>
      </c>
      <c r="L254" s="98"/>
    </row>
    <row r="255" spans="3:12" x14ac:dyDescent="0.25">
      <c r="C255" s="99" t="s">
        <v>74</v>
      </c>
      <c r="D255" s="151"/>
      <c r="E255" s="100">
        <v>8000</v>
      </c>
      <c r="F255" s="97">
        <f t="shared" si="20"/>
        <v>0</v>
      </c>
      <c r="G255" s="165"/>
      <c r="H255" s="101" t="s">
        <v>1012</v>
      </c>
      <c r="I255" s="101" t="str">
        <f>VLOOKUP(H255,Presupuesto!$B$11:$C$565,2,0)</f>
        <v>EQUIPO DE COMPUTACION</v>
      </c>
      <c r="J255" s="98" t="str">
        <f t="shared" si="21"/>
        <v>Posgrado</v>
      </c>
      <c r="K255" s="98" t="s">
        <v>393</v>
      </c>
      <c r="L255" s="98"/>
    </row>
    <row r="256" spans="3:12" x14ac:dyDescent="0.25">
      <c r="C256" s="99" t="s">
        <v>75</v>
      </c>
      <c r="D256" s="151"/>
      <c r="E256" s="100">
        <v>5000</v>
      </c>
      <c r="F256" s="97">
        <f t="shared" si="20"/>
        <v>0</v>
      </c>
      <c r="G256" s="165"/>
      <c r="H256" s="101" t="s">
        <v>1012</v>
      </c>
      <c r="I256" s="101" t="str">
        <f>VLOOKUP(H256,Presupuesto!$B$11:$C$565,2,0)</f>
        <v>EQUIPO DE COMPUTACION</v>
      </c>
      <c r="J256" s="98" t="str">
        <f t="shared" si="21"/>
        <v>Posgrado</v>
      </c>
      <c r="K256" s="98" t="s">
        <v>393</v>
      </c>
      <c r="L256" s="98"/>
    </row>
    <row r="257" spans="3:12" x14ac:dyDescent="0.25">
      <c r="C257" s="99" t="s">
        <v>35</v>
      </c>
      <c r="D257" s="151"/>
      <c r="E257" s="100">
        <v>13000</v>
      </c>
      <c r="F257" s="97">
        <f t="shared" si="20"/>
        <v>0</v>
      </c>
      <c r="G257" s="165"/>
      <c r="H257" s="101" t="s">
        <v>998</v>
      </c>
      <c r="I257" s="101" t="str">
        <f>VLOOKUP(H257,Presupuesto!$B$11:$C$565,2,0)</f>
        <v>EQUIPO DE TRANSPORTE TRACCION Y ELEVACION</v>
      </c>
      <c r="J257" s="98" t="str">
        <f t="shared" si="21"/>
        <v>Posgrado</v>
      </c>
      <c r="K257" s="98" t="s">
        <v>393</v>
      </c>
      <c r="L257" s="98"/>
    </row>
    <row r="258" spans="3:12" x14ac:dyDescent="0.25">
      <c r="C258" s="99" t="s">
        <v>76</v>
      </c>
      <c r="D258" s="151"/>
      <c r="E258" s="100">
        <v>15000</v>
      </c>
      <c r="F258" s="97">
        <f t="shared" si="20"/>
        <v>0</v>
      </c>
      <c r="G258" s="165"/>
      <c r="H258" s="101" t="s">
        <v>998</v>
      </c>
      <c r="I258" s="101" t="str">
        <f>VLOOKUP(H258,Presupuesto!$B$11:$C$565,2,0)</f>
        <v>EQUIPO DE TRANSPORTE TRACCION Y ELEVACION</v>
      </c>
      <c r="J258" s="98" t="str">
        <f t="shared" si="21"/>
        <v>Posgrado</v>
      </c>
      <c r="K258" s="98" t="s">
        <v>393</v>
      </c>
      <c r="L258" s="98"/>
    </row>
    <row r="259" spans="3:12" x14ac:dyDescent="0.25">
      <c r="C259" s="99" t="s">
        <v>77</v>
      </c>
      <c r="D259" s="151"/>
      <c r="E259" s="100">
        <v>10000</v>
      </c>
      <c r="F259" s="97">
        <f t="shared" si="20"/>
        <v>0</v>
      </c>
      <c r="G259" s="165"/>
      <c r="H259" s="101" t="s">
        <v>998</v>
      </c>
      <c r="I259" s="101" t="str">
        <f>VLOOKUP(H259,Presupuesto!$B$11:$C$565,2,0)</f>
        <v>EQUIPO DE TRANSPORTE TRACCION Y ELEVACION</v>
      </c>
      <c r="J259" s="98" t="str">
        <f t="shared" si="21"/>
        <v>Posgrado</v>
      </c>
      <c r="K259" s="98" t="s">
        <v>401</v>
      </c>
      <c r="L259" s="98"/>
    </row>
    <row r="260" spans="3:12" x14ac:dyDescent="0.25">
      <c r="C260" s="99" t="s">
        <v>78</v>
      </c>
      <c r="D260" s="151"/>
      <c r="E260" s="100">
        <v>10000</v>
      </c>
      <c r="F260" s="97">
        <f t="shared" si="20"/>
        <v>0</v>
      </c>
      <c r="G260" s="165"/>
      <c r="H260" s="101" t="s">
        <v>1044</v>
      </c>
      <c r="I260" s="101" t="str">
        <f>VLOOKUP(H260,Presupuesto!$B$11:$C$565,2,0)</f>
        <v>APLICACIONES INFORMATICAS</v>
      </c>
      <c r="J260" s="98" t="str">
        <f t="shared" si="21"/>
        <v>Posgrado</v>
      </c>
      <c r="K260" s="98" t="s">
        <v>397</v>
      </c>
      <c r="L260" s="98"/>
    </row>
    <row r="261" spans="3:12" x14ac:dyDescent="0.25">
      <c r="C261" s="109" t="s">
        <v>79</v>
      </c>
      <c r="D261" s="151"/>
      <c r="E261" s="100">
        <v>2000</v>
      </c>
      <c r="F261" s="97">
        <f t="shared" si="20"/>
        <v>0</v>
      </c>
      <c r="G261" s="165"/>
      <c r="H261" s="110" t="s">
        <v>1012</v>
      </c>
      <c r="I261" s="110" t="str">
        <f>VLOOKUP(H261,Presupuesto!$B$11:$C$565,2,0)</f>
        <v>EQUIPO DE COMPUTACION</v>
      </c>
      <c r="J261" s="98" t="str">
        <f t="shared" si="21"/>
        <v>Posgrado</v>
      </c>
      <c r="K261" s="98" t="s">
        <v>393</v>
      </c>
      <c r="L261" s="98"/>
    </row>
    <row r="262" spans="3:12" x14ac:dyDescent="0.25">
      <c r="C262" s="109" t="s">
        <v>1471</v>
      </c>
      <c r="D262" s="151"/>
      <c r="E262" s="100">
        <v>1500</v>
      </c>
      <c r="F262" s="97">
        <f t="shared" si="20"/>
        <v>0</v>
      </c>
      <c r="G262" s="165"/>
      <c r="H262" s="110" t="s">
        <v>944</v>
      </c>
      <c r="I262" s="110" t="str">
        <f>VLOOKUP(H262,Presupuesto!$B$11:$C$565,2,0)</f>
        <v>UTILES Y MATERIALES ELECTRICOS</v>
      </c>
      <c r="J262" s="98" t="str">
        <f t="shared" si="21"/>
        <v>Posgrado</v>
      </c>
      <c r="K262" s="98" t="s">
        <v>393</v>
      </c>
      <c r="L262" s="98"/>
    </row>
    <row r="263" spans="3:12" x14ac:dyDescent="0.25">
      <c r="C263" s="109" t="s">
        <v>80</v>
      </c>
      <c r="D263" s="151"/>
      <c r="E263" s="100">
        <v>1500</v>
      </c>
      <c r="F263" s="97">
        <f t="shared" si="20"/>
        <v>0</v>
      </c>
      <c r="G263" s="165"/>
      <c r="H263" s="110" t="s">
        <v>1012</v>
      </c>
      <c r="I263" s="110" t="str">
        <f>VLOOKUP(H263,Presupuesto!$B$11:$C$565,2,0)</f>
        <v>EQUIPO DE COMPUTACION</v>
      </c>
      <c r="J263" s="98" t="str">
        <f t="shared" si="21"/>
        <v>Posgrado</v>
      </c>
      <c r="K263" s="98" t="s">
        <v>393</v>
      </c>
      <c r="L263" s="98"/>
    </row>
    <row r="264" spans="3:12" x14ac:dyDescent="0.25">
      <c r="C264" s="109" t="s">
        <v>81</v>
      </c>
      <c r="D264" s="151"/>
      <c r="E264" s="100">
        <v>500</v>
      </c>
      <c r="F264" s="97">
        <f t="shared" si="20"/>
        <v>0</v>
      </c>
      <c r="G264" s="165"/>
      <c r="H264" s="110" t="s">
        <v>953</v>
      </c>
      <c r="I264" s="110" t="str">
        <f>VLOOKUP(H264,Presupuesto!$B$11:$C$565,2,0)</f>
        <v>OTROS RESPUESTOS Y ACCESORIOS MENORES</v>
      </c>
      <c r="J264" s="98" t="str">
        <f t="shared" si="21"/>
        <v>Posgrado</v>
      </c>
      <c r="K264" s="98" t="s">
        <v>393</v>
      </c>
      <c r="L264" s="98"/>
    </row>
    <row r="265" spans="3:12" ht="15.75" thickBot="1" x14ac:dyDescent="0.3">
      <c r="C265" s="102" t="s">
        <v>82</v>
      </c>
      <c r="D265" s="159"/>
      <c r="E265" s="104">
        <v>20</v>
      </c>
      <c r="F265" s="105">
        <f t="shared" si="20"/>
        <v>0</v>
      </c>
      <c r="G265" s="162"/>
      <c r="H265" s="106" t="s">
        <v>953</v>
      </c>
      <c r="I265" s="106" t="str">
        <f>VLOOKUP(H265,Presupuesto!$B$11:$C$565,2,0)</f>
        <v>OTROS RESPUESTOS Y ACCESORIOS MENORES</v>
      </c>
      <c r="J265" s="106" t="str">
        <f t="shared" si="21"/>
        <v>Posgrado</v>
      </c>
      <c r="K265" s="124" t="s">
        <v>392</v>
      </c>
      <c r="L265" s="124"/>
    </row>
    <row r="266" spans="3:12" x14ac:dyDescent="0.25">
      <c r="F266" s="93"/>
      <c r="G266" s="76"/>
      <c r="H266" s="76"/>
      <c r="I266" s="76"/>
    </row>
    <row r="267" spans="3:12" ht="15.75" thickBot="1" x14ac:dyDescent="0.3"/>
    <row r="268" spans="3:12" ht="15.75" thickBot="1" x14ac:dyDescent="0.3">
      <c r="C268" s="29" t="s">
        <v>43</v>
      </c>
      <c r="D268" s="108">
        <f>SUM(F275:F288)</f>
        <v>0</v>
      </c>
      <c r="F268" s="70"/>
      <c r="G268" s="79"/>
      <c r="H268" s="70"/>
      <c r="I268" s="70"/>
    </row>
    <row r="269" spans="3:12" x14ac:dyDescent="0.25">
      <c r="C269" s="70"/>
      <c r="D269" s="31"/>
      <c r="E269" s="93"/>
      <c r="F269" s="93"/>
      <c r="G269" s="93"/>
      <c r="H269" s="76"/>
      <c r="I269" s="76"/>
      <c r="J269" s="76"/>
      <c r="K269" s="112"/>
    </row>
    <row r="270" spans="3:12" x14ac:dyDescent="0.25">
      <c r="C270" s="70"/>
      <c r="D270" s="31"/>
      <c r="E270" s="93"/>
      <c r="F270" s="93"/>
      <c r="G270" s="93"/>
      <c r="H270" s="76"/>
      <c r="I270" s="76"/>
      <c r="J270" s="76"/>
      <c r="K270" s="112"/>
    </row>
    <row r="271" spans="3:12" ht="15.75" x14ac:dyDescent="0.25">
      <c r="C271" s="202" t="s">
        <v>390</v>
      </c>
      <c r="D271" s="368"/>
      <c r="E271" s="93"/>
      <c r="F271" s="93"/>
      <c r="G271" s="93"/>
      <c r="H271" s="76"/>
      <c r="I271" s="76"/>
      <c r="J271" s="76"/>
      <c r="K271" s="112"/>
    </row>
    <row r="272" spans="3:12" ht="18.75" x14ac:dyDescent="0.25">
      <c r="C272" s="210" t="e">
        <f>IFERROR(VLOOKUP(D271,'1. Desarrollo e Innov. Curricu.'!$F:$G,2,FALSE),IFERROR(VLOOKUP(D271,'2. Investigación Científica'!$F:$G,2,FALSE),IFERROR(VLOOKUP(D271,'3. Vinculación Univ. Sociedad'!$F:$G,2,FALSE),IFERROR(VLOOKUP(D271,'4. Docencia y Profesorado Univ.'!$F:$G,2,FALSE),IFERROR(VLOOKUP(D271,'5. Estudiantes y Graduados'!$F:$G,2,FALSE),IFERROR(VLOOKUP(D271,'11. Gestion Administrativa'!$F:$G,2,FALSE),IFERROR(VLOOKUP(D271,'13. Gestión Académica'!$F:$G,2,FALSE),IFERROR(VLOOKUP(D271,'9. Asegura. de la Calid. y M'!$F:$G,2,FALSE),IFERROR(VLOOKUP(D271,'6. Gestión del Conocimiento'!$F:$G,2,FALSE),IFERROR(VLOOKUP(D271,'15. Gobernabilidad y Proceso...'!$G:$H,2,FALSE),IFERROR(VLOOKUP(D271,'12. Gestión del Talento Humano'!$F:$G,2,FALSE),IFERROR(VLOOKUP(D271,'14. Internacional... de la E.S.'!$F:$G,2,FALSE),IFERROR(VLOOKUP(D271,'10. Posgrado'!$F:$G,2,FALSE),IFERROR(VLOOKUP(D271,'16. Desa. del Sistema Educ.Sup.'!$F:$G,2,FALSE),IFERROR(VLOOKUP(D271,'8. Cultura de Inno. Insti...'!$F:$G,2,FALSE),VLOOKUP(D271,'7. Lo Esencial de la Reforma U.'!$G:$H,2,0))))))))))))))))</f>
        <v>#N/A</v>
      </c>
      <c r="D272" s="31"/>
      <c r="E272" s="93"/>
      <c r="F272" s="93"/>
      <c r="G272" s="93"/>
      <c r="H272" s="76"/>
      <c r="I272" s="76"/>
      <c r="J272" s="76"/>
      <c r="K272" s="112"/>
    </row>
    <row r="273" spans="3:12" x14ac:dyDescent="0.25">
      <c r="F273" s="93"/>
      <c r="G273" s="76"/>
      <c r="H273" s="76"/>
      <c r="I273" s="76"/>
    </row>
    <row r="274" spans="3:12" ht="30.75" thickBot="1" x14ac:dyDescent="0.3">
      <c r="C274" s="149" t="s">
        <v>44</v>
      </c>
      <c r="D274" s="149" t="s">
        <v>55</v>
      </c>
      <c r="E274" s="149" t="s">
        <v>57</v>
      </c>
      <c r="F274" s="150" t="s">
        <v>27</v>
      </c>
      <c r="G274" s="150" t="s">
        <v>129</v>
      </c>
      <c r="H274" s="149" t="s">
        <v>46</v>
      </c>
      <c r="I274" s="149" t="s">
        <v>130</v>
      </c>
      <c r="J274" s="149" t="s">
        <v>408</v>
      </c>
      <c r="K274" s="149" t="s">
        <v>409</v>
      </c>
      <c r="L274" s="149" t="s">
        <v>462</v>
      </c>
    </row>
    <row r="275" spans="3:12" ht="15.75" thickBot="1" x14ac:dyDescent="0.3">
      <c r="C275" s="304" t="s">
        <v>1337</v>
      </c>
      <c r="D275" s="158"/>
      <c r="E275" s="96">
        <f>HLOOKUP($C275,$CB$2:$CE$3,2,0)</f>
        <v>15000</v>
      </c>
      <c r="F275" s="97">
        <f>D275*E275</f>
        <v>0</v>
      </c>
      <c r="G275" s="165"/>
      <c r="H275" s="98" t="s">
        <v>1012</v>
      </c>
      <c r="I275" s="98" t="str">
        <f>VLOOKUP(H275,Presupuesto!$B$11:$C$565,2,0)</f>
        <v>EQUIPO DE COMPUTACION</v>
      </c>
      <c r="J275" s="218" t="s">
        <v>1468</v>
      </c>
      <c r="K275" s="98" t="s">
        <v>392</v>
      </c>
      <c r="L275" s="98"/>
    </row>
    <row r="276" spans="3:12" x14ac:dyDescent="0.25">
      <c r="C276" s="304" t="s">
        <v>1335</v>
      </c>
      <c r="D276" s="151"/>
      <c r="E276" s="96">
        <f>HLOOKUP($C276,$CB$2:$CE$3,2,0)</f>
        <v>35000</v>
      </c>
      <c r="F276" s="97">
        <f>D276*E276</f>
        <v>0</v>
      </c>
      <c r="G276" s="165"/>
      <c r="H276" s="101" t="s">
        <v>1012</v>
      </c>
      <c r="I276" s="101" t="str">
        <f>VLOOKUP(H276,Presupuesto!$B$11:$C$565,2,0)</f>
        <v>EQUIPO DE COMPUTACION</v>
      </c>
      <c r="J276" s="98" t="str">
        <f>$J$275</f>
        <v>Desarrollo del Sistema de Educación Superior</v>
      </c>
      <c r="K276" s="98" t="s">
        <v>410</v>
      </c>
      <c r="L276" s="98"/>
    </row>
    <row r="277" spans="3:12" x14ac:dyDescent="0.25">
      <c r="C277" s="99" t="s">
        <v>73</v>
      </c>
      <c r="D277" s="151"/>
      <c r="E277" s="100">
        <v>4000</v>
      </c>
      <c r="F277" s="97">
        <f t="shared" ref="F277:F288" si="22">D277*E277</f>
        <v>0</v>
      </c>
      <c r="G277" s="165"/>
      <c r="H277" s="101" t="s">
        <v>984</v>
      </c>
      <c r="I277" s="101" t="str">
        <f>VLOOKUP(H277,Presupuesto!$B$11:$C$565,2,0)</f>
        <v>EQUIPOS VARIOS DE OFICINA</v>
      </c>
      <c r="J277" s="98" t="str">
        <f t="shared" ref="J277:J288" si="23">$J$275</f>
        <v>Desarrollo del Sistema de Educación Superior</v>
      </c>
      <c r="K277" s="98" t="s">
        <v>393</v>
      </c>
      <c r="L277" s="98"/>
    </row>
    <row r="278" spans="3:12" x14ac:dyDescent="0.25">
      <c r="C278" s="99" t="s">
        <v>74</v>
      </c>
      <c r="D278" s="151"/>
      <c r="E278" s="100">
        <v>8000</v>
      </c>
      <c r="F278" s="97">
        <f t="shared" si="22"/>
        <v>0</v>
      </c>
      <c r="G278" s="165"/>
      <c r="H278" s="101" t="s">
        <v>1012</v>
      </c>
      <c r="I278" s="101" t="str">
        <f>VLOOKUP(H278,Presupuesto!$B$11:$C$565,2,0)</f>
        <v>EQUIPO DE COMPUTACION</v>
      </c>
      <c r="J278" s="98" t="str">
        <f t="shared" si="23"/>
        <v>Desarrollo del Sistema de Educación Superior</v>
      </c>
      <c r="K278" s="98" t="s">
        <v>393</v>
      </c>
      <c r="L278" s="98"/>
    </row>
    <row r="279" spans="3:12" x14ac:dyDescent="0.25">
      <c r="C279" s="99" t="s">
        <v>75</v>
      </c>
      <c r="D279" s="151"/>
      <c r="E279" s="100">
        <v>5000</v>
      </c>
      <c r="F279" s="97">
        <f t="shared" si="22"/>
        <v>0</v>
      </c>
      <c r="G279" s="165"/>
      <c r="H279" s="101" t="s">
        <v>1012</v>
      </c>
      <c r="I279" s="101" t="str">
        <f>VLOOKUP(H279,Presupuesto!$B$11:$C$565,2,0)</f>
        <v>EQUIPO DE COMPUTACION</v>
      </c>
      <c r="J279" s="98" t="str">
        <f t="shared" si="23"/>
        <v>Desarrollo del Sistema de Educación Superior</v>
      </c>
      <c r="K279" s="98" t="s">
        <v>393</v>
      </c>
      <c r="L279" s="98"/>
    </row>
    <row r="280" spans="3:12" x14ac:dyDescent="0.25">
      <c r="C280" s="99" t="s">
        <v>35</v>
      </c>
      <c r="D280" s="151"/>
      <c r="E280" s="100">
        <v>13000</v>
      </c>
      <c r="F280" s="97">
        <f t="shared" si="22"/>
        <v>0</v>
      </c>
      <c r="G280" s="165"/>
      <c r="H280" s="101" t="s">
        <v>998</v>
      </c>
      <c r="I280" s="101" t="str">
        <f>VLOOKUP(H280,Presupuesto!$B$11:$C$565,2,0)</f>
        <v>EQUIPO DE TRANSPORTE TRACCION Y ELEVACION</v>
      </c>
      <c r="J280" s="98" t="str">
        <f t="shared" si="23"/>
        <v>Desarrollo del Sistema de Educación Superior</v>
      </c>
      <c r="K280" s="98" t="s">
        <v>393</v>
      </c>
      <c r="L280" s="98"/>
    </row>
    <row r="281" spans="3:12" x14ac:dyDescent="0.25">
      <c r="C281" s="99" t="s">
        <v>76</v>
      </c>
      <c r="D281" s="151"/>
      <c r="E281" s="100">
        <v>15000</v>
      </c>
      <c r="F281" s="97">
        <f t="shared" si="22"/>
        <v>0</v>
      </c>
      <c r="G281" s="165"/>
      <c r="H281" s="101" t="s">
        <v>998</v>
      </c>
      <c r="I281" s="101" t="str">
        <f>VLOOKUP(H281,Presupuesto!$B$11:$C$565,2,0)</f>
        <v>EQUIPO DE TRANSPORTE TRACCION Y ELEVACION</v>
      </c>
      <c r="J281" s="98" t="str">
        <f t="shared" si="23"/>
        <v>Desarrollo del Sistema de Educación Superior</v>
      </c>
      <c r="K281" s="98" t="s">
        <v>393</v>
      </c>
      <c r="L281" s="98"/>
    </row>
    <row r="282" spans="3:12" x14ac:dyDescent="0.25">
      <c r="C282" s="99" t="s">
        <v>77</v>
      </c>
      <c r="D282" s="151"/>
      <c r="E282" s="100">
        <v>10000</v>
      </c>
      <c r="F282" s="97">
        <f t="shared" si="22"/>
        <v>0</v>
      </c>
      <c r="G282" s="165"/>
      <c r="H282" s="101" t="s">
        <v>998</v>
      </c>
      <c r="I282" s="101" t="str">
        <f>VLOOKUP(H282,Presupuesto!$B$11:$C$565,2,0)</f>
        <v>EQUIPO DE TRANSPORTE TRACCION Y ELEVACION</v>
      </c>
      <c r="J282" s="98" t="str">
        <f t="shared" si="23"/>
        <v>Desarrollo del Sistema de Educación Superior</v>
      </c>
      <c r="K282" s="98" t="s">
        <v>401</v>
      </c>
      <c r="L282" s="98"/>
    </row>
    <row r="283" spans="3:12" x14ac:dyDescent="0.25">
      <c r="C283" s="99" t="s">
        <v>78</v>
      </c>
      <c r="D283" s="151"/>
      <c r="E283" s="100">
        <v>10000</v>
      </c>
      <c r="F283" s="97">
        <f t="shared" si="22"/>
        <v>0</v>
      </c>
      <c r="G283" s="165"/>
      <c r="H283" s="101" t="s">
        <v>1044</v>
      </c>
      <c r="I283" s="101" t="str">
        <f>VLOOKUP(H283,Presupuesto!$B$11:$C$565,2,0)</f>
        <v>APLICACIONES INFORMATICAS</v>
      </c>
      <c r="J283" s="98" t="str">
        <f t="shared" si="23"/>
        <v>Desarrollo del Sistema de Educación Superior</v>
      </c>
      <c r="K283" s="98" t="s">
        <v>397</v>
      </c>
      <c r="L283" s="98"/>
    </row>
    <row r="284" spans="3:12" x14ac:dyDescent="0.25">
      <c r="C284" s="109" t="s">
        <v>79</v>
      </c>
      <c r="D284" s="151"/>
      <c r="E284" s="100">
        <v>2000</v>
      </c>
      <c r="F284" s="97">
        <f t="shared" si="22"/>
        <v>0</v>
      </c>
      <c r="G284" s="165"/>
      <c r="H284" s="110" t="s">
        <v>1012</v>
      </c>
      <c r="I284" s="110" t="str">
        <f>VLOOKUP(H284,Presupuesto!$B$11:$C$565,2,0)</f>
        <v>EQUIPO DE COMPUTACION</v>
      </c>
      <c r="J284" s="98" t="str">
        <f t="shared" si="23"/>
        <v>Desarrollo del Sistema de Educación Superior</v>
      </c>
      <c r="K284" s="98" t="s">
        <v>393</v>
      </c>
      <c r="L284" s="98"/>
    </row>
    <row r="285" spans="3:12" x14ac:dyDescent="0.25">
      <c r="C285" s="109" t="s">
        <v>1471</v>
      </c>
      <c r="D285" s="151"/>
      <c r="E285" s="100">
        <v>1500</v>
      </c>
      <c r="F285" s="97">
        <f t="shared" si="22"/>
        <v>0</v>
      </c>
      <c r="G285" s="165"/>
      <c r="H285" s="110" t="s">
        <v>944</v>
      </c>
      <c r="I285" s="110" t="str">
        <f>VLOOKUP(H285,Presupuesto!$B$11:$C$565,2,0)</f>
        <v>UTILES Y MATERIALES ELECTRICOS</v>
      </c>
      <c r="J285" s="98" t="str">
        <f t="shared" si="23"/>
        <v>Desarrollo del Sistema de Educación Superior</v>
      </c>
      <c r="K285" s="98" t="s">
        <v>393</v>
      </c>
      <c r="L285" s="98"/>
    </row>
    <row r="286" spans="3:12" x14ac:dyDescent="0.25">
      <c r="C286" s="109" t="s">
        <v>80</v>
      </c>
      <c r="D286" s="151"/>
      <c r="E286" s="100">
        <v>1500</v>
      </c>
      <c r="F286" s="97">
        <f t="shared" si="22"/>
        <v>0</v>
      </c>
      <c r="G286" s="165"/>
      <c r="H286" s="110" t="s">
        <v>1012</v>
      </c>
      <c r="I286" s="110" t="str">
        <f>VLOOKUP(H286,Presupuesto!$B$11:$C$565,2,0)</f>
        <v>EQUIPO DE COMPUTACION</v>
      </c>
      <c r="J286" s="98" t="str">
        <f t="shared" si="23"/>
        <v>Desarrollo del Sistema de Educación Superior</v>
      </c>
      <c r="K286" s="98" t="s">
        <v>393</v>
      </c>
      <c r="L286" s="98"/>
    </row>
    <row r="287" spans="3:12" x14ac:dyDescent="0.25">
      <c r="C287" s="109" t="s">
        <v>81</v>
      </c>
      <c r="D287" s="151"/>
      <c r="E287" s="100">
        <v>500</v>
      </c>
      <c r="F287" s="97">
        <f t="shared" si="22"/>
        <v>0</v>
      </c>
      <c r="G287" s="165"/>
      <c r="H287" s="110" t="s">
        <v>953</v>
      </c>
      <c r="I287" s="110" t="str">
        <f>VLOOKUP(H287,Presupuesto!$B$11:$C$565,2,0)</f>
        <v>OTROS RESPUESTOS Y ACCESORIOS MENORES</v>
      </c>
      <c r="J287" s="98" t="str">
        <f t="shared" si="23"/>
        <v>Desarrollo del Sistema de Educación Superior</v>
      </c>
      <c r="K287" s="98" t="s">
        <v>393</v>
      </c>
      <c r="L287" s="98"/>
    </row>
    <row r="288" spans="3:12" ht="15.75" thickBot="1" x14ac:dyDescent="0.3">
      <c r="C288" s="102" t="s">
        <v>82</v>
      </c>
      <c r="D288" s="159"/>
      <c r="E288" s="104">
        <v>20</v>
      </c>
      <c r="F288" s="105">
        <f t="shared" si="22"/>
        <v>0</v>
      </c>
      <c r="G288" s="162"/>
      <c r="H288" s="106" t="s">
        <v>953</v>
      </c>
      <c r="I288" s="106" t="str">
        <f>VLOOKUP(H288,Presupuesto!$B$11:$C$565,2,0)</f>
        <v>OTROS RESPUESTOS Y ACCESORIOS MENORES</v>
      </c>
      <c r="J288" s="106" t="str">
        <f t="shared" si="23"/>
        <v>Desarrollo del Sistema de Educación Superior</v>
      </c>
      <c r="K288" s="124" t="s">
        <v>392</v>
      </c>
      <c r="L288" s="124"/>
    </row>
  </sheetData>
  <dataValidations xWindow="1068" yWindow="884" count="6">
    <dataValidation type="list" allowBlank="1" showInputMessage="1" showErrorMessage="1" errorTitle="¡Ingreso Inválido!" error="Seleccione una opción de la lista._x000a_" promptTitle="Tipo de Presupuesto" prompt="Seleccione una opción de la lista." sqref="G17:G35 G45:G58 G68:G81 G91:G104 G114:G127 G137:G150 G160:G173 G183:G196 G206:G219 G229:G242 G252:G265 G275:G288">
      <formula1>$R$2:$S$2</formula1>
    </dataValidation>
    <dataValidation type="list" allowBlank="1" showInputMessage="1" showErrorMessage="1" errorTitle="¡Ingreso Inválido!" error="Seleccione una opción de la lista" promptTitle="Mes Requerido" prompt="Seleccione el mes en el que requiere el recurso." sqref="K275:K288 K45:K58 K68:K81 K91:K104 K114:K127 K137:K150 K160:K173 K183:K196 K206:K219 K229:K242 K252:K265 K17:K36">
      <formula1>$U$2:$AF$2</formula1>
    </dataValidation>
    <dataValidation type="list" allowBlank="1" showInputMessage="1" showErrorMessage="1" sqref="C17:C18 C45:C46 C68:C69 C91:C92 C114:C115 C137:C138 C160:C161 C183:C184 C206:C207 C229:C230 C252:C253 C275:C276">
      <formula1>$CB$2:$CE$2</formula1>
    </dataValidation>
    <dataValidation type="list" allowBlank="1" showInputMessage="1" showErrorMessage="1" errorTitle="¡Ingreso Inválido!" error="Verifique el valor ingresado" promptTitle="Objeto de Gasto" prompt="Ingrese el Objeto de Gasto" sqref="H275:H288 H45:H58 H68:H81 H91:H104 H114:H127 H137:H150 H160:H173 H183:H196 H206:H219 H229:H242 H252:H265 H17:H35">
      <formula1>$A$1:$UI$1</formula1>
    </dataValidation>
    <dataValidation type="list" allowBlank="1" showInputMessage="1" showErrorMessage="1" errorTitle="¡Ingreso Inválido!" error="Seleccione una opción de la lista." promptTitle="Dimensión Estratégica" prompt="Seleccione una opción de la lista." sqref="J276:J288 J46:J58 J69:J81 J92:J104 J115:J127 J138:J150 J161:J173 J184:J196 J207:J219 J230:J242 J253:J265 J18:J35">
      <formula1>$A$2:$P$2</formula1>
    </dataValidation>
    <dataValidation type="list" allowBlank="1" showInputMessage="1" showErrorMessage="1" errorTitle="¡Ingreso Inválido!" error="Seleccione una opción de la lista." promptTitle="Dimensión Estratégica" prompt="Seleccione una opción de la lista." sqref="J17 J45 J68 J91 J114 J137 J160 J183 J206 J229 J252 J275">
      <formula1>$A$2:$Q$2</formula1>
    </dataValidation>
  </dataValidations>
  <pageMargins left="0.7" right="0.7" top="0.75" bottom="0.75" header="0.3" footer="0.3"/>
  <pageSetup orientation="portrait" horizontalDpi="300" verticalDpi="300" r:id="rId1"/>
  <ignoredErrors>
    <ignoredError sqref="D29"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7"/>
  <sheetViews>
    <sheetView showGridLines="0" topLeftCell="G15" zoomScale="84" zoomScaleNormal="84" workbookViewId="0">
      <selection activeCell="K25" sqref="K25"/>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33.71093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x14ac:dyDescent="0.25">
      <c r="A1" s="187" t="s">
        <v>249</v>
      </c>
      <c r="B1" s="190" t="s">
        <v>250</v>
      </c>
      <c r="C1" s="181" t="s">
        <v>251</v>
      </c>
      <c r="D1" s="181" t="s">
        <v>494</v>
      </c>
      <c r="E1" s="181" t="s">
        <v>496</v>
      </c>
      <c r="F1" s="181" t="s">
        <v>498</v>
      </c>
      <c r="G1" s="181" t="s">
        <v>500</v>
      </c>
      <c r="H1" s="181" t="s">
        <v>502</v>
      </c>
      <c r="I1" s="181" t="s">
        <v>504</v>
      </c>
      <c r="J1" s="181" t="s">
        <v>252</v>
      </c>
      <c r="K1" s="181" t="s">
        <v>507</v>
      </c>
      <c r="L1" s="181" t="s">
        <v>253</v>
      </c>
      <c r="M1" s="181" t="s">
        <v>509</v>
      </c>
      <c r="N1" s="181" t="s">
        <v>511</v>
      </c>
      <c r="O1" s="181" t="s">
        <v>513</v>
      </c>
      <c r="P1" s="181" t="s">
        <v>254</v>
      </c>
      <c r="Q1" s="181" t="s">
        <v>514</v>
      </c>
      <c r="R1" s="181" t="s">
        <v>517</v>
      </c>
      <c r="S1" s="181" t="s">
        <v>255</v>
      </c>
      <c r="T1" s="181" t="s">
        <v>519</v>
      </c>
      <c r="U1" s="181" t="s">
        <v>256</v>
      </c>
      <c r="V1" s="181" t="s">
        <v>520</v>
      </c>
      <c r="W1" s="181" t="s">
        <v>521</v>
      </c>
      <c r="X1" s="181" t="s">
        <v>525</v>
      </c>
      <c r="Y1" s="181" t="s">
        <v>272</v>
      </c>
      <c r="Z1" s="181" t="s">
        <v>526</v>
      </c>
      <c r="AA1" s="181" t="s">
        <v>528</v>
      </c>
      <c r="AB1" s="181" t="s">
        <v>530</v>
      </c>
      <c r="AC1" s="181" t="s">
        <v>273</v>
      </c>
      <c r="AD1" s="181" t="s">
        <v>532</v>
      </c>
      <c r="AE1" s="181" t="s">
        <v>534</v>
      </c>
      <c r="AF1" s="181" t="s">
        <v>536</v>
      </c>
      <c r="AG1" s="181" t="s">
        <v>538</v>
      </c>
      <c r="AH1" s="181" t="s">
        <v>248</v>
      </c>
      <c r="AI1" s="181" t="s">
        <v>540</v>
      </c>
      <c r="AJ1" s="190" t="s">
        <v>257</v>
      </c>
      <c r="AK1" s="181" t="s">
        <v>542</v>
      </c>
      <c r="AL1" s="181" t="s">
        <v>258</v>
      </c>
      <c r="AM1" s="181" t="s">
        <v>544</v>
      </c>
      <c r="AN1" s="181" t="s">
        <v>546</v>
      </c>
      <c r="AO1" s="181" t="s">
        <v>259</v>
      </c>
      <c r="AP1" s="181" t="s">
        <v>548</v>
      </c>
      <c r="AQ1" s="181" t="s">
        <v>550</v>
      </c>
      <c r="AR1" s="181" t="s">
        <v>260</v>
      </c>
      <c r="AS1" s="181" t="s">
        <v>551</v>
      </c>
      <c r="AT1" s="181" t="s">
        <v>553</v>
      </c>
      <c r="AU1" s="181" t="s">
        <v>554</v>
      </c>
      <c r="AV1" s="181" t="s">
        <v>555</v>
      </c>
      <c r="AW1" s="181" t="s">
        <v>557</v>
      </c>
      <c r="AX1" s="181" t="s">
        <v>559</v>
      </c>
      <c r="AY1" s="181" t="s">
        <v>560</v>
      </c>
      <c r="AZ1" s="181" t="s">
        <v>261</v>
      </c>
      <c r="BA1" s="181" t="s">
        <v>562</v>
      </c>
      <c r="BB1" s="181" t="s">
        <v>564</v>
      </c>
      <c r="BC1" s="181" t="s">
        <v>566</v>
      </c>
      <c r="BD1" s="181" t="s">
        <v>568</v>
      </c>
      <c r="BE1" s="181" t="s">
        <v>570</v>
      </c>
      <c r="BF1" s="181" t="s">
        <v>572</v>
      </c>
      <c r="BG1" s="181" t="s">
        <v>574</v>
      </c>
      <c r="BH1" s="181" t="s">
        <v>576</v>
      </c>
      <c r="BI1" s="181" t="s">
        <v>274</v>
      </c>
      <c r="BJ1" s="181" t="s">
        <v>578</v>
      </c>
      <c r="BK1" s="181" t="s">
        <v>580</v>
      </c>
      <c r="BL1" s="181" t="s">
        <v>582</v>
      </c>
      <c r="BM1" s="181" t="s">
        <v>584</v>
      </c>
      <c r="BN1" s="181" t="s">
        <v>586</v>
      </c>
      <c r="BO1" s="181" t="s">
        <v>588</v>
      </c>
      <c r="BP1" s="181" t="s">
        <v>590</v>
      </c>
      <c r="BQ1" s="181" t="s">
        <v>592</v>
      </c>
      <c r="BR1" s="181" t="s">
        <v>594</v>
      </c>
      <c r="BS1" s="181" t="s">
        <v>596</v>
      </c>
      <c r="BT1" s="190" t="s">
        <v>262</v>
      </c>
      <c r="BU1" s="181" t="s">
        <v>263</v>
      </c>
      <c r="BV1" s="181" t="s">
        <v>598</v>
      </c>
      <c r="BW1" s="181" t="s">
        <v>264</v>
      </c>
      <c r="BX1" s="181" t="s">
        <v>600</v>
      </c>
      <c r="BY1" s="181" t="s">
        <v>602</v>
      </c>
      <c r="BZ1" s="190" t="s">
        <v>265</v>
      </c>
      <c r="CA1" s="181" t="s">
        <v>266</v>
      </c>
      <c r="CB1" s="181" t="s">
        <v>604</v>
      </c>
      <c r="CC1" s="181" t="s">
        <v>267</v>
      </c>
      <c r="CD1" s="181" t="s">
        <v>606</v>
      </c>
      <c r="CE1" s="181" t="s">
        <v>608</v>
      </c>
      <c r="CF1" s="181" t="s">
        <v>610</v>
      </c>
      <c r="CG1" s="190" t="s">
        <v>268</v>
      </c>
      <c r="CH1" s="181" t="s">
        <v>616</v>
      </c>
      <c r="CI1" s="181" t="s">
        <v>618</v>
      </c>
      <c r="CJ1" s="181" t="s">
        <v>269</v>
      </c>
      <c r="CK1" s="181" t="s">
        <v>612</v>
      </c>
      <c r="CL1" s="181" t="s">
        <v>614</v>
      </c>
      <c r="CM1" s="181" t="s">
        <v>270</v>
      </c>
      <c r="CN1" s="181" t="s">
        <v>620</v>
      </c>
      <c r="CO1" s="181" t="s">
        <v>271</v>
      </c>
      <c r="CP1" s="181" t="s">
        <v>621</v>
      </c>
      <c r="CQ1" s="178" t="s">
        <v>275</v>
      </c>
      <c r="CR1" s="190" t="s">
        <v>276</v>
      </c>
      <c r="CS1" s="181" t="s">
        <v>622</v>
      </c>
      <c r="CT1" s="181" t="s">
        <v>623</v>
      </c>
      <c r="CU1" s="181" t="s">
        <v>625</v>
      </c>
      <c r="CV1" s="181" t="s">
        <v>277</v>
      </c>
      <c r="CW1" s="181" t="s">
        <v>627</v>
      </c>
      <c r="CX1" s="181" t="s">
        <v>629</v>
      </c>
      <c r="CY1" s="181" t="s">
        <v>631</v>
      </c>
      <c r="CZ1" s="181" t="s">
        <v>633</v>
      </c>
      <c r="DA1" s="181" t="s">
        <v>635</v>
      </c>
      <c r="DB1" s="181" t="s">
        <v>637</v>
      </c>
      <c r="DC1" s="190" t="s">
        <v>278</v>
      </c>
      <c r="DD1" s="181" t="s">
        <v>279</v>
      </c>
      <c r="DE1" s="181" t="s">
        <v>639</v>
      </c>
      <c r="DF1" s="181" t="s">
        <v>280</v>
      </c>
      <c r="DG1" s="181" t="s">
        <v>641</v>
      </c>
      <c r="DH1" s="181" t="s">
        <v>643</v>
      </c>
      <c r="DI1" s="181" t="s">
        <v>645</v>
      </c>
      <c r="DJ1" s="181" t="s">
        <v>647</v>
      </c>
      <c r="DK1" s="181" t="s">
        <v>649</v>
      </c>
      <c r="DL1" s="181" t="s">
        <v>651</v>
      </c>
      <c r="DM1" s="181" t="s">
        <v>653</v>
      </c>
      <c r="DN1" s="181" t="s">
        <v>281</v>
      </c>
      <c r="DO1" s="181" t="s">
        <v>655</v>
      </c>
      <c r="DP1" s="181" t="s">
        <v>657</v>
      </c>
      <c r="DQ1" s="181" t="s">
        <v>659</v>
      </c>
      <c r="DR1" s="190" t="s">
        <v>282</v>
      </c>
      <c r="DS1" s="181" t="s">
        <v>661</v>
      </c>
      <c r="DT1" s="181" t="s">
        <v>283</v>
      </c>
      <c r="DU1" s="181" t="s">
        <v>663</v>
      </c>
      <c r="DV1" s="181" t="s">
        <v>284</v>
      </c>
      <c r="DW1" s="181" t="s">
        <v>665</v>
      </c>
      <c r="DX1" s="181" t="s">
        <v>667</v>
      </c>
      <c r="DY1" s="181" t="s">
        <v>669</v>
      </c>
      <c r="DZ1" s="181" t="s">
        <v>671</v>
      </c>
      <c r="EA1" s="181" t="s">
        <v>673</v>
      </c>
      <c r="EB1" s="181" t="s">
        <v>675</v>
      </c>
      <c r="EC1" s="181" t="s">
        <v>677</v>
      </c>
      <c r="ED1" s="181" t="s">
        <v>679</v>
      </c>
      <c r="EE1" s="181" t="s">
        <v>681</v>
      </c>
      <c r="EF1" s="181" t="s">
        <v>683</v>
      </c>
      <c r="EG1" s="181" t="s">
        <v>685</v>
      </c>
      <c r="EH1" s="190" t="s">
        <v>285</v>
      </c>
      <c r="EI1" s="181" t="s">
        <v>687</v>
      </c>
      <c r="EJ1" s="181" t="s">
        <v>286</v>
      </c>
      <c r="EK1" s="181" t="s">
        <v>689</v>
      </c>
      <c r="EL1" s="181" t="s">
        <v>691</v>
      </c>
      <c r="EM1" s="181" t="s">
        <v>287</v>
      </c>
      <c r="EN1" s="181" t="s">
        <v>693</v>
      </c>
      <c r="EO1" s="181" t="s">
        <v>695</v>
      </c>
      <c r="EP1" s="181" t="s">
        <v>288</v>
      </c>
      <c r="EQ1" s="181" t="s">
        <v>697</v>
      </c>
      <c r="ER1" s="181" t="s">
        <v>699</v>
      </c>
      <c r="ES1" s="181" t="s">
        <v>701</v>
      </c>
      <c r="ET1" s="181" t="s">
        <v>289</v>
      </c>
      <c r="EU1" s="181" t="s">
        <v>703</v>
      </c>
      <c r="EV1" s="181" t="s">
        <v>705</v>
      </c>
      <c r="EW1" s="190" t="s">
        <v>290</v>
      </c>
      <c r="EX1" s="181" t="s">
        <v>291</v>
      </c>
      <c r="EY1" s="181" t="s">
        <v>707</v>
      </c>
      <c r="EZ1" s="181" t="s">
        <v>709</v>
      </c>
      <c r="FA1" s="181" t="s">
        <v>711</v>
      </c>
      <c r="FB1" s="181" t="s">
        <v>713</v>
      </c>
      <c r="FC1" s="181" t="s">
        <v>292</v>
      </c>
      <c r="FD1" s="181" t="s">
        <v>715</v>
      </c>
      <c r="FE1" s="181" t="s">
        <v>717</v>
      </c>
      <c r="FF1" s="181" t="s">
        <v>719</v>
      </c>
      <c r="FG1" s="181" t="s">
        <v>721</v>
      </c>
      <c r="FH1" s="181" t="s">
        <v>723</v>
      </c>
      <c r="FI1" s="181" t="s">
        <v>293</v>
      </c>
      <c r="FJ1" s="181" t="s">
        <v>726</v>
      </c>
      <c r="FK1" s="181" t="s">
        <v>294</v>
      </c>
      <c r="FL1" s="181" t="s">
        <v>729</v>
      </c>
      <c r="FM1" s="181" t="s">
        <v>730</v>
      </c>
      <c r="FN1" s="181" t="s">
        <v>732</v>
      </c>
      <c r="FO1" s="181" t="s">
        <v>295</v>
      </c>
      <c r="FP1" s="181" t="s">
        <v>735</v>
      </c>
      <c r="FQ1" s="181" t="s">
        <v>736</v>
      </c>
      <c r="FR1" s="181" t="s">
        <v>738</v>
      </c>
      <c r="FS1" s="181" t="s">
        <v>296</v>
      </c>
      <c r="FT1" s="181" t="s">
        <v>741</v>
      </c>
      <c r="FU1" s="181" t="s">
        <v>743</v>
      </c>
      <c r="FV1" s="181" t="s">
        <v>745</v>
      </c>
      <c r="FW1" s="190" t="s">
        <v>297</v>
      </c>
      <c r="FX1" s="190" t="s">
        <v>298</v>
      </c>
      <c r="FY1" s="181" t="s">
        <v>304</v>
      </c>
      <c r="FZ1" s="181" t="s">
        <v>747</v>
      </c>
      <c r="GA1" s="181" t="s">
        <v>749</v>
      </c>
      <c r="GB1" s="181" t="s">
        <v>751</v>
      </c>
      <c r="GC1" s="181" t="s">
        <v>753</v>
      </c>
      <c r="GD1" s="181" t="s">
        <v>755</v>
      </c>
      <c r="GE1" s="181" t="s">
        <v>757</v>
      </c>
      <c r="GF1" s="190" t="s">
        <v>299</v>
      </c>
      <c r="GG1" s="181" t="s">
        <v>305</v>
      </c>
      <c r="GH1" s="181" t="s">
        <v>759</v>
      </c>
      <c r="GI1" s="181" t="s">
        <v>761</v>
      </c>
      <c r="GJ1" s="181" t="s">
        <v>762</v>
      </c>
      <c r="GK1" s="181" t="s">
        <v>306</v>
      </c>
      <c r="GL1" s="181" t="s">
        <v>765</v>
      </c>
      <c r="GM1" s="181" t="s">
        <v>766</v>
      </c>
      <c r="GN1" s="190" t="s">
        <v>300</v>
      </c>
      <c r="GO1" s="181" t="s">
        <v>301</v>
      </c>
      <c r="GP1" s="181" t="s">
        <v>768</v>
      </c>
      <c r="GQ1" s="181" t="s">
        <v>770</v>
      </c>
      <c r="GR1" s="181" t="s">
        <v>772</v>
      </c>
      <c r="GS1" s="181" t="s">
        <v>774</v>
      </c>
      <c r="GT1" s="181" t="s">
        <v>776</v>
      </c>
      <c r="GU1" s="190" t="s">
        <v>302</v>
      </c>
      <c r="GV1" s="181" t="s">
        <v>303</v>
      </c>
      <c r="GW1" s="181" t="s">
        <v>778</v>
      </c>
      <c r="GX1" s="181" t="s">
        <v>780</v>
      </c>
      <c r="GY1" s="181" t="s">
        <v>782</v>
      </c>
      <c r="GZ1" s="181" t="s">
        <v>784</v>
      </c>
      <c r="HA1" s="181" t="s">
        <v>786</v>
      </c>
      <c r="HB1" s="181" t="s">
        <v>788</v>
      </c>
      <c r="HC1" s="178" t="s">
        <v>307</v>
      </c>
      <c r="HD1" s="190" t="s">
        <v>308</v>
      </c>
      <c r="HE1" s="181" t="s">
        <v>309</v>
      </c>
      <c r="HF1" s="181" t="s">
        <v>790</v>
      </c>
      <c r="HG1" s="181" t="s">
        <v>792</v>
      </c>
      <c r="HH1" s="181" t="s">
        <v>794</v>
      </c>
      <c r="HI1" s="181" t="s">
        <v>796</v>
      </c>
      <c r="HJ1" s="181" t="s">
        <v>310</v>
      </c>
      <c r="HK1" s="181" t="s">
        <v>799</v>
      </c>
      <c r="HL1" s="181" t="s">
        <v>327</v>
      </c>
      <c r="HM1" s="181" t="s">
        <v>837</v>
      </c>
      <c r="HN1" s="181" t="s">
        <v>839</v>
      </c>
      <c r="HO1" s="181" t="s">
        <v>841</v>
      </c>
      <c r="HP1" s="190" t="s">
        <v>311</v>
      </c>
      <c r="HQ1" s="181" t="s">
        <v>801</v>
      </c>
      <c r="HR1" s="181" t="s">
        <v>803</v>
      </c>
      <c r="HS1" s="181" t="s">
        <v>312</v>
      </c>
      <c r="HT1" s="181" t="s">
        <v>806</v>
      </c>
      <c r="HU1" s="181" t="s">
        <v>808</v>
      </c>
      <c r="HV1" s="181" t="s">
        <v>809</v>
      </c>
      <c r="HW1" s="181" t="s">
        <v>811</v>
      </c>
      <c r="HX1" s="190" t="s">
        <v>313</v>
      </c>
      <c r="HY1" s="181" t="s">
        <v>813</v>
      </c>
      <c r="HZ1" s="181" t="s">
        <v>815</v>
      </c>
      <c r="IA1" s="181" t="s">
        <v>817</v>
      </c>
      <c r="IB1" s="181" t="s">
        <v>314</v>
      </c>
      <c r="IC1" s="181" t="s">
        <v>819</v>
      </c>
      <c r="ID1" s="181" t="s">
        <v>821</v>
      </c>
      <c r="IE1" s="181" t="s">
        <v>315</v>
      </c>
      <c r="IF1" s="181" t="s">
        <v>823</v>
      </c>
      <c r="IG1" s="181" t="s">
        <v>825</v>
      </c>
      <c r="IH1" s="181" t="s">
        <v>316</v>
      </c>
      <c r="II1" s="181" t="s">
        <v>827</v>
      </c>
      <c r="IJ1" s="181" t="s">
        <v>829</v>
      </c>
      <c r="IK1" s="181" t="s">
        <v>831</v>
      </c>
      <c r="IL1" s="181" t="s">
        <v>833</v>
      </c>
      <c r="IM1" s="181" t="s">
        <v>317</v>
      </c>
      <c r="IN1" s="181" t="s">
        <v>835</v>
      </c>
      <c r="IO1" s="190" t="s">
        <v>318</v>
      </c>
      <c r="IP1" s="181" t="s">
        <v>843</v>
      </c>
      <c r="IQ1" s="181" t="s">
        <v>845</v>
      </c>
      <c r="IR1" s="181" t="s">
        <v>319</v>
      </c>
      <c r="IS1" s="181" t="s">
        <v>847</v>
      </c>
      <c r="IT1" s="181" t="s">
        <v>849</v>
      </c>
      <c r="IU1" s="181" t="s">
        <v>851</v>
      </c>
      <c r="IV1" s="190" t="s">
        <v>320</v>
      </c>
      <c r="IW1" s="181" t="s">
        <v>853</v>
      </c>
      <c r="IX1" s="181" t="s">
        <v>321</v>
      </c>
      <c r="IY1" s="181" t="s">
        <v>856</v>
      </c>
      <c r="IZ1" s="181" t="s">
        <v>858</v>
      </c>
      <c r="JA1" s="181" t="s">
        <v>860</v>
      </c>
      <c r="JB1" s="181" t="s">
        <v>862</v>
      </c>
      <c r="JC1" s="181" t="s">
        <v>864</v>
      </c>
      <c r="JD1" s="181" t="s">
        <v>866</v>
      </c>
      <c r="JE1" s="181" t="s">
        <v>322</v>
      </c>
      <c r="JF1" s="181" t="s">
        <v>869</v>
      </c>
      <c r="JG1" s="181" t="s">
        <v>871</v>
      </c>
      <c r="JH1" s="181" t="s">
        <v>873</v>
      </c>
      <c r="JI1" s="181" t="s">
        <v>875</v>
      </c>
      <c r="JJ1" s="181" t="s">
        <v>877</v>
      </c>
      <c r="JK1" s="181" t="s">
        <v>879</v>
      </c>
      <c r="JL1" s="181" t="s">
        <v>881</v>
      </c>
      <c r="JM1" s="181" t="s">
        <v>883</v>
      </c>
      <c r="JN1" s="181" t="s">
        <v>323</v>
      </c>
      <c r="JO1" s="181" t="s">
        <v>886</v>
      </c>
      <c r="JP1" s="181" t="s">
        <v>888</v>
      </c>
      <c r="JQ1" s="181" t="s">
        <v>890</v>
      </c>
      <c r="JR1" s="181" t="s">
        <v>892</v>
      </c>
      <c r="JS1" s="181" t="s">
        <v>893</v>
      </c>
      <c r="JT1" s="181" t="s">
        <v>895</v>
      </c>
      <c r="JU1" s="181" t="s">
        <v>897</v>
      </c>
      <c r="JV1" s="181" t="s">
        <v>899</v>
      </c>
      <c r="JW1" s="181" t="s">
        <v>901</v>
      </c>
      <c r="JX1" s="181" t="s">
        <v>903</v>
      </c>
      <c r="JY1" s="181" t="s">
        <v>905</v>
      </c>
      <c r="JZ1" s="181" t="s">
        <v>907</v>
      </c>
      <c r="KA1" s="181" t="s">
        <v>909</v>
      </c>
      <c r="KB1" s="181" t="s">
        <v>911</v>
      </c>
      <c r="KC1" s="181" t="s">
        <v>913</v>
      </c>
      <c r="KD1" s="181" t="s">
        <v>915</v>
      </c>
      <c r="KE1" s="181" t="s">
        <v>917</v>
      </c>
      <c r="KF1" s="181" t="s">
        <v>919</v>
      </c>
      <c r="KG1" s="181" t="s">
        <v>921</v>
      </c>
      <c r="KH1" s="181" t="s">
        <v>923</v>
      </c>
      <c r="KI1" s="181" t="s">
        <v>925</v>
      </c>
      <c r="KJ1" s="181" t="s">
        <v>927</v>
      </c>
      <c r="KK1" s="181" t="s">
        <v>929</v>
      </c>
      <c r="KL1" s="181" t="s">
        <v>931</v>
      </c>
      <c r="KM1" s="181" t="s">
        <v>933</v>
      </c>
      <c r="KN1" s="181" t="s">
        <v>935</v>
      </c>
      <c r="KO1" s="190" t="s">
        <v>324</v>
      </c>
      <c r="KP1" s="181" t="s">
        <v>937</v>
      </c>
      <c r="KQ1" s="181" t="s">
        <v>325</v>
      </c>
      <c r="KR1" s="181" t="s">
        <v>940</v>
      </c>
      <c r="KS1" s="181" t="s">
        <v>942</v>
      </c>
      <c r="KT1" s="181" t="s">
        <v>944</v>
      </c>
      <c r="KU1" s="181" t="s">
        <v>946</v>
      </c>
      <c r="KV1" s="181" t="s">
        <v>326</v>
      </c>
      <c r="KW1" s="181" t="s">
        <v>949</v>
      </c>
      <c r="KX1" s="181" t="s">
        <v>951</v>
      </c>
      <c r="KY1" s="181" t="s">
        <v>953</v>
      </c>
      <c r="KZ1" s="181" t="s">
        <v>955</v>
      </c>
      <c r="LA1" s="181" t="s">
        <v>957</v>
      </c>
      <c r="LB1" s="181" t="s">
        <v>959</v>
      </c>
      <c r="LC1" s="181" t="s">
        <v>961</v>
      </c>
      <c r="LD1" s="178" t="s">
        <v>328</v>
      </c>
      <c r="LE1" s="190" t="s">
        <v>329</v>
      </c>
      <c r="LF1" s="181" t="s">
        <v>330</v>
      </c>
      <c r="LG1" s="181" t="s">
        <v>344</v>
      </c>
      <c r="LH1" s="181" t="s">
        <v>963</v>
      </c>
      <c r="LI1" s="181" t="s">
        <v>965</v>
      </c>
      <c r="LJ1" s="181" t="s">
        <v>967</v>
      </c>
      <c r="LK1" s="181" t="s">
        <v>969</v>
      </c>
      <c r="LL1" s="181" t="s">
        <v>345</v>
      </c>
      <c r="LM1" s="181" t="s">
        <v>971</v>
      </c>
      <c r="LN1" s="181" t="s">
        <v>346</v>
      </c>
      <c r="LO1" s="181" t="s">
        <v>973</v>
      </c>
      <c r="LP1" s="181" t="s">
        <v>331</v>
      </c>
      <c r="LQ1" s="181" t="s">
        <v>975</v>
      </c>
      <c r="LR1" s="181" t="s">
        <v>347</v>
      </c>
      <c r="LS1" s="181" t="s">
        <v>977</v>
      </c>
      <c r="LT1" s="181" t="s">
        <v>979</v>
      </c>
      <c r="LU1" s="181" t="s">
        <v>348</v>
      </c>
      <c r="LV1" s="190" t="s">
        <v>332</v>
      </c>
      <c r="LW1" s="181" t="s">
        <v>333</v>
      </c>
      <c r="LX1" s="181" t="s">
        <v>981</v>
      </c>
      <c r="LY1" s="181" t="s">
        <v>983</v>
      </c>
      <c r="LZ1" s="181" t="s">
        <v>984</v>
      </c>
      <c r="MA1" s="181" t="s">
        <v>986</v>
      </c>
      <c r="MB1" s="181" t="s">
        <v>987</v>
      </c>
      <c r="MC1" s="181" t="s">
        <v>989</v>
      </c>
      <c r="MD1" s="181" t="s">
        <v>991</v>
      </c>
      <c r="ME1" s="181" t="s">
        <v>993</v>
      </c>
      <c r="MF1" s="181" t="s">
        <v>995</v>
      </c>
      <c r="MG1" s="181" t="s">
        <v>334</v>
      </c>
      <c r="MH1" s="181" t="s">
        <v>998</v>
      </c>
      <c r="MI1" s="181" t="s">
        <v>999</v>
      </c>
      <c r="MJ1" s="181" t="s">
        <v>1001</v>
      </c>
      <c r="MK1" s="181" t="s">
        <v>335</v>
      </c>
      <c r="ML1" s="181" t="s">
        <v>1004</v>
      </c>
      <c r="MM1" s="181" t="s">
        <v>1005</v>
      </c>
      <c r="MN1" s="181" t="s">
        <v>1007</v>
      </c>
      <c r="MO1" s="181" t="s">
        <v>1009</v>
      </c>
      <c r="MP1" s="181" t="s">
        <v>336</v>
      </c>
      <c r="MQ1" s="181" t="s">
        <v>1012</v>
      </c>
      <c r="MR1" s="181" t="s">
        <v>1014</v>
      </c>
      <c r="MS1" s="181" t="s">
        <v>1016</v>
      </c>
      <c r="MT1" s="181" t="s">
        <v>1018</v>
      </c>
      <c r="MU1" s="181" t="s">
        <v>337</v>
      </c>
      <c r="MV1" s="181" t="s">
        <v>1021</v>
      </c>
      <c r="MW1" s="181" t="s">
        <v>1023</v>
      </c>
      <c r="MX1" s="181" t="s">
        <v>1025</v>
      </c>
      <c r="MY1" s="181" t="s">
        <v>1027</v>
      </c>
      <c r="MZ1" s="181" t="s">
        <v>1029</v>
      </c>
      <c r="NA1" s="181" t="s">
        <v>1031</v>
      </c>
      <c r="NB1" s="181" t="s">
        <v>1033</v>
      </c>
      <c r="NC1" s="181" t="s">
        <v>1035</v>
      </c>
      <c r="ND1" s="181" t="s">
        <v>1037</v>
      </c>
      <c r="NE1" s="181" t="s">
        <v>1039</v>
      </c>
      <c r="NF1" s="181" t="s">
        <v>1041</v>
      </c>
      <c r="NG1" s="181" t="s">
        <v>1042</v>
      </c>
      <c r="NH1" s="190" t="s">
        <v>338</v>
      </c>
      <c r="NI1" s="181" t="s">
        <v>339</v>
      </c>
      <c r="NJ1" s="181" t="s">
        <v>1044</v>
      </c>
      <c r="NK1" s="181" t="s">
        <v>1046</v>
      </c>
      <c r="NL1" s="181" t="s">
        <v>1048</v>
      </c>
      <c r="NM1" s="181" t="s">
        <v>1050</v>
      </c>
      <c r="NN1" s="190" t="s">
        <v>340</v>
      </c>
      <c r="NO1" s="181" t="s">
        <v>341</v>
      </c>
      <c r="NP1" s="181" t="s">
        <v>1051</v>
      </c>
      <c r="NQ1" s="181" t="s">
        <v>342</v>
      </c>
      <c r="NR1" s="181" t="s">
        <v>1053</v>
      </c>
      <c r="NS1" s="181" t="s">
        <v>1055</v>
      </c>
      <c r="NT1" s="181" t="s">
        <v>343</v>
      </c>
      <c r="NU1" s="181" t="s">
        <v>1057</v>
      </c>
      <c r="NV1" s="178" t="s">
        <v>349</v>
      </c>
      <c r="NW1" s="190" t="s">
        <v>350</v>
      </c>
      <c r="NX1" s="181" t="s">
        <v>351</v>
      </c>
      <c r="NY1" s="181" t="s">
        <v>1060</v>
      </c>
      <c r="NZ1" s="181" t="s">
        <v>1062</v>
      </c>
      <c r="OA1" s="181" t="s">
        <v>352</v>
      </c>
      <c r="OB1" s="181" t="s">
        <v>362</v>
      </c>
      <c r="OC1" s="181" t="s">
        <v>1064</v>
      </c>
      <c r="OD1" s="181" t="s">
        <v>1066</v>
      </c>
      <c r="OE1" s="181" t="s">
        <v>1068</v>
      </c>
      <c r="OF1" s="181" t="s">
        <v>1070</v>
      </c>
      <c r="OG1" s="181" t="s">
        <v>1072</v>
      </c>
      <c r="OH1" s="181" t="s">
        <v>1074</v>
      </c>
      <c r="OI1" s="181" t="s">
        <v>1076</v>
      </c>
      <c r="OJ1" s="181" t="s">
        <v>1078</v>
      </c>
      <c r="OK1" s="181" t="s">
        <v>1080</v>
      </c>
      <c r="OL1" s="181" t="s">
        <v>1082</v>
      </c>
      <c r="OM1" s="181" t="s">
        <v>1084</v>
      </c>
      <c r="ON1" s="181" t="s">
        <v>1086</v>
      </c>
      <c r="OO1" s="181" t="s">
        <v>1088</v>
      </c>
      <c r="OP1" s="181" t="s">
        <v>1090</v>
      </c>
      <c r="OQ1" s="181" t="s">
        <v>1092</v>
      </c>
      <c r="OR1" s="181" t="s">
        <v>1094</v>
      </c>
      <c r="OS1" s="181" t="s">
        <v>1096</v>
      </c>
      <c r="OT1" s="181" t="s">
        <v>1098</v>
      </c>
      <c r="OU1" s="181" t="s">
        <v>1100</v>
      </c>
      <c r="OV1" s="181" t="s">
        <v>1102</v>
      </c>
      <c r="OW1" s="181" t="s">
        <v>1104</v>
      </c>
      <c r="OX1" s="181" t="s">
        <v>1106</v>
      </c>
      <c r="OY1" s="181" t="s">
        <v>363</v>
      </c>
      <c r="OZ1" s="181" t="s">
        <v>1109</v>
      </c>
      <c r="PA1" s="181" t="s">
        <v>1111</v>
      </c>
      <c r="PB1" s="181" t="s">
        <v>1112</v>
      </c>
      <c r="PC1" s="181" t="s">
        <v>1114</v>
      </c>
      <c r="PD1" s="181" t="s">
        <v>1116</v>
      </c>
      <c r="PE1" s="181" t="s">
        <v>1118</v>
      </c>
      <c r="PF1" s="181" t="s">
        <v>1120</v>
      </c>
      <c r="PG1" s="181" t="s">
        <v>1122</v>
      </c>
      <c r="PH1" s="181" t="s">
        <v>1124</v>
      </c>
      <c r="PI1" s="181" t="s">
        <v>1126</v>
      </c>
      <c r="PJ1" s="181" t="s">
        <v>1128</v>
      </c>
      <c r="PK1" s="181" t="s">
        <v>1130</v>
      </c>
      <c r="PL1" s="181" t="s">
        <v>1132</v>
      </c>
      <c r="PM1" s="181" t="s">
        <v>1134</v>
      </c>
      <c r="PN1" s="181" t="s">
        <v>1136</v>
      </c>
      <c r="PO1" s="181" t="s">
        <v>1138</v>
      </c>
      <c r="PP1" s="181" t="s">
        <v>1140</v>
      </c>
      <c r="PQ1" s="181" t="s">
        <v>1142</v>
      </c>
      <c r="PR1" s="181" t="s">
        <v>1144</v>
      </c>
      <c r="PS1" s="181" t="s">
        <v>1146</v>
      </c>
      <c r="PT1" s="181" t="s">
        <v>1148</v>
      </c>
      <c r="PU1" s="181" t="s">
        <v>1150</v>
      </c>
      <c r="PV1" s="181" t="s">
        <v>1152</v>
      </c>
      <c r="PW1" s="181" t="s">
        <v>1154</v>
      </c>
      <c r="PX1" s="181" t="s">
        <v>1156</v>
      </c>
      <c r="PY1" s="181" t="s">
        <v>1158</v>
      </c>
      <c r="PZ1" s="181" t="s">
        <v>353</v>
      </c>
      <c r="QA1" s="181" t="s">
        <v>1160</v>
      </c>
      <c r="QB1" s="181" t="s">
        <v>1162</v>
      </c>
      <c r="QC1" s="181" t="s">
        <v>1164</v>
      </c>
      <c r="QD1" s="181" t="s">
        <v>1166</v>
      </c>
      <c r="QE1" s="181" t="s">
        <v>1168</v>
      </c>
      <c r="QF1" s="190" t="s">
        <v>354</v>
      </c>
      <c r="QG1" s="181" t="s">
        <v>355</v>
      </c>
      <c r="QH1" s="181" t="s">
        <v>1170</v>
      </c>
      <c r="QI1" s="181" t="s">
        <v>1172</v>
      </c>
      <c r="QJ1" s="181" t="s">
        <v>1174</v>
      </c>
      <c r="QK1" s="181" t="s">
        <v>1176</v>
      </c>
      <c r="QL1" s="181" t="s">
        <v>1178</v>
      </c>
      <c r="QM1" s="181" t="s">
        <v>1180</v>
      </c>
      <c r="QN1" s="190" t="s">
        <v>356</v>
      </c>
      <c r="QO1" s="181" t="s">
        <v>1182</v>
      </c>
      <c r="QP1" s="181" t="s">
        <v>357</v>
      </c>
      <c r="QQ1" s="181" t="s">
        <v>364</v>
      </c>
      <c r="QR1" s="181" t="s">
        <v>1184</v>
      </c>
      <c r="QS1" s="181" t="s">
        <v>1186</v>
      </c>
      <c r="QT1" s="181" t="s">
        <v>1188</v>
      </c>
      <c r="QU1" s="181" t="s">
        <v>1190</v>
      </c>
      <c r="QV1" s="181" t="s">
        <v>1192</v>
      </c>
      <c r="QW1" s="181" t="s">
        <v>1194</v>
      </c>
      <c r="QX1" s="181" t="s">
        <v>1196</v>
      </c>
      <c r="QY1" s="181" t="s">
        <v>1198</v>
      </c>
      <c r="QZ1" s="181" t="s">
        <v>1200</v>
      </c>
      <c r="RA1" s="181" t="s">
        <v>1202</v>
      </c>
      <c r="RB1" s="181" t="s">
        <v>1204</v>
      </c>
      <c r="RC1" s="181" t="s">
        <v>1206</v>
      </c>
      <c r="RD1" s="181" t="s">
        <v>1208</v>
      </c>
      <c r="RE1" s="181" t="s">
        <v>1210</v>
      </c>
      <c r="RF1" s="190" t="s">
        <v>358</v>
      </c>
      <c r="RG1" s="181" t="s">
        <v>359</v>
      </c>
      <c r="RH1" s="181" t="s">
        <v>1212</v>
      </c>
      <c r="RI1" s="181" t="s">
        <v>1214</v>
      </c>
      <c r="RJ1" s="190" t="s">
        <v>360</v>
      </c>
      <c r="RK1" s="181" t="s">
        <v>361</v>
      </c>
      <c r="RL1" s="181" t="s">
        <v>1216</v>
      </c>
      <c r="RM1" s="181" t="s">
        <v>1217</v>
      </c>
      <c r="RN1" s="181" t="s">
        <v>1218</v>
      </c>
      <c r="RO1" s="181" t="s">
        <v>1219</v>
      </c>
      <c r="RP1" s="181" t="s">
        <v>1221</v>
      </c>
      <c r="RQ1" s="181" t="s">
        <v>1222</v>
      </c>
      <c r="RR1" s="181" t="s">
        <v>1224</v>
      </c>
      <c r="RS1" s="181" t="s">
        <v>1225</v>
      </c>
      <c r="RT1" s="178" t="s">
        <v>365</v>
      </c>
      <c r="RU1" s="190" t="s">
        <v>366</v>
      </c>
      <c r="RV1" s="181" t="s">
        <v>367</v>
      </c>
      <c r="RW1" s="181" t="s">
        <v>1227</v>
      </c>
      <c r="RX1" s="181" t="s">
        <v>1229</v>
      </c>
      <c r="RY1" s="181" t="s">
        <v>368</v>
      </c>
      <c r="RZ1" s="181" t="s">
        <v>1231</v>
      </c>
      <c r="SA1" s="181" t="s">
        <v>1233</v>
      </c>
      <c r="SB1" s="181" t="s">
        <v>1235</v>
      </c>
      <c r="SC1" s="181" t="s">
        <v>1237</v>
      </c>
      <c r="SD1" s="190" t="s">
        <v>369</v>
      </c>
      <c r="SE1" s="181" t="s">
        <v>370</v>
      </c>
      <c r="SF1" s="181" t="s">
        <v>1239</v>
      </c>
      <c r="SG1" s="181" t="s">
        <v>1241</v>
      </c>
      <c r="SH1" s="181" t="s">
        <v>1243</v>
      </c>
      <c r="SI1" s="181" t="s">
        <v>1245</v>
      </c>
      <c r="SJ1" s="181" t="s">
        <v>1247</v>
      </c>
      <c r="SK1" s="181" t="s">
        <v>1249</v>
      </c>
      <c r="SL1" s="181" t="s">
        <v>1251</v>
      </c>
      <c r="SM1" s="181" t="s">
        <v>1253</v>
      </c>
      <c r="SN1" s="181" t="s">
        <v>1255</v>
      </c>
      <c r="SO1" s="181" t="s">
        <v>1257</v>
      </c>
      <c r="SP1" s="181" t="s">
        <v>1259</v>
      </c>
      <c r="SQ1" s="181" t="s">
        <v>1261</v>
      </c>
      <c r="SR1" s="181" t="s">
        <v>1263</v>
      </c>
      <c r="SS1" s="181" t="s">
        <v>1265</v>
      </c>
      <c r="ST1" s="181" t="s">
        <v>1267</v>
      </c>
      <c r="SU1" s="178" t="s">
        <v>371</v>
      </c>
      <c r="SV1" s="190" t="s">
        <v>372</v>
      </c>
      <c r="SW1" s="181" t="s">
        <v>373</v>
      </c>
      <c r="SX1" s="181" t="s">
        <v>1269</v>
      </c>
      <c r="SY1" s="181" t="s">
        <v>1271</v>
      </c>
      <c r="SZ1" s="181" t="s">
        <v>1273</v>
      </c>
      <c r="TA1" s="181" t="s">
        <v>1275</v>
      </c>
      <c r="TB1" s="181" t="s">
        <v>1277</v>
      </c>
      <c r="TC1" s="181" t="s">
        <v>374</v>
      </c>
      <c r="TD1" s="181" t="s">
        <v>1279</v>
      </c>
      <c r="TE1" s="181" t="s">
        <v>1281</v>
      </c>
      <c r="TF1" s="181" t="s">
        <v>1283</v>
      </c>
      <c r="TG1" s="181" t="s">
        <v>1285</v>
      </c>
      <c r="TH1" s="181" t="s">
        <v>1287</v>
      </c>
      <c r="TI1" s="181" t="s">
        <v>1289</v>
      </c>
      <c r="TJ1" s="190" t="s">
        <v>375</v>
      </c>
      <c r="TK1" s="181" t="s">
        <v>376</v>
      </c>
      <c r="TL1" s="181" t="s">
        <v>377</v>
      </c>
      <c r="TM1" s="181" t="s">
        <v>1291</v>
      </c>
      <c r="TN1" s="181" t="s">
        <v>1293</v>
      </c>
      <c r="TO1" s="181" t="s">
        <v>1294</v>
      </c>
      <c r="TP1" s="181" t="s">
        <v>1296</v>
      </c>
      <c r="TQ1" s="181" t="s">
        <v>1298</v>
      </c>
      <c r="TR1" s="181" t="s">
        <v>1300</v>
      </c>
      <c r="TS1" s="181" t="s">
        <v>1302</v>
      </c>
      <c r="TT1" s="181" t="s">
        <v>1304</v>
      </c>
      <c r="TU1" s="181" t="s">
        <v>1306</v>
      </c>
      <c r="TV1" s="181" t="s">
        <v>1308</v>
      </c>
      <c r="TW1" s="181" t="s">
        <v>1310</v>
      </c>
      <c r="TX1" s="181" t="s">
        <v>1312</v>
      </c>
      <c r="TY1" s="181" t="s">
        <v>1314</v>
      </c>
      <c r="TZ1" s="181" t="s">
        <v>1316</v>
      </c>
      <c r="UA1" s="181" t="s">
        <v>1318</v>
      </c>
      <c r="UB1" s="181" t="s">
        <v>1320</v>
      </c>
      <c r="UC1" s="178" t="s">
        <v>1322</v>
      </c>
      <c r="UD1" s="181" t="s">
        <v>1324</v>
      </c>
      <c r="UE1" s="181" t="s">
        <v>1326</v>
      </c>
      <c r="UF1" s="181" t="s">
        <v>1328</v>
      </c>
      <c r="UG1" s="181" t="s">
        <v>1330</v>
      </c>
      <c r="UH1" s="181" t="s">
        <v>1332</v>
      </c>
      <c r="UI1" s="184"/>
    </row>
    <row r="2" spans="1:555" s="122" customFormat="1" hidden="1" x14ac:dyDescent="0.25">
      <c r="A2" s="122" t="s">
        <v>1355</v>
      </c>
      <c r="B2" s="122" t="s">
        <v>1357</v>
      </c>
      <c r="C2" s="122" t="s">
        <v>469</v>
      </c>
      <c r="D2" s="122" t="s">
        <v>1356</v>
      </c>
      <c r="E2" s="122" t="s">
        <v>1358</v>
      </c>
      <c r="F2" s="122" t="s">
        <v>470</v>
      </c>
      <c r="G2" s="160" t="s">
        <v>1359</v>
      </c>
      <c r="H2" s="122" t="s">
        <v>1360</v>
      </c>
      <c r="I2" s="122" t="s">
        <v>1361</v>
      </c>
      <c r="J2" s="122" t="s">
        <v>1443</v>
      </c>
      <c r="K2" s="122" t="s">
        <v>1362</v>
      </c>
      <c r="L2" s="122" t="s">
        <v>1363</v>
      </c>
      <c r="M2" s="122" t="s">
        <v>1364</v>
      </c>
      <c r="N2" s="122" t="s">
        <v>1365</v>
      </c>
      <c r="O2" s="122" t="s">
        <v>1366</v>
      </c>
      <c r="P2" s="122" t="s">
        <v>1468</v>
      </c>
      <c r="Q2" s="122" t="s">
        <v>1503</v>
      </c>
      <c r="R2" s="459" t="str">
        <f>+Presupuesto!D11</f>
        <v>Recurrente</v>
      </c>
      <c r="S2" s="459" t="str">
        <f>+Presupuesto!E11</f>
        <v>Programa / Proyecto 2017</v>
      </c>
      <c r="U2" s="122" t="s">
        <v>392</v>
      </c>
      <c r="V2" s="122" t="s">
        <v>410</v>
      </c>
      <c r="W2" s="122" t="s">
        <v>393</v>
      </c>
      <c r="X2" s="122" t="s">
        <v>394</v>
      </c>
      <c r="Y2" s="122" t="s">
        <v>395</v>
      </c>
      <c r="Z2" s="122" t="s">
        <v>396</v>
      </c>
      <c r="AA2" s="122" t="s">
        <v>397</v>
      </c>
      <c r="AB2" s="122" t="s">
        <v>398</v>
      </c>
      <c r="AC2" s="122" t="s">
        <v>399</v>
      </c>
      <c r="AD2" s="122" t="s">
        <v>400</v>
      </c>
      <c r="AE2" s="122" t="s">
        <v>401</v>
      </c>
      <c r="AF2" s="122" t="s">
        <v>402</v>
      </c>
      <c r="AH2" s="213" t="s">
        <v>418</v>
      </c>
      <c r="AI2" s="213" t="s">
        <v>419</v>
      </c>
      <c r="AJ2" s="213" t="s">
        <v>420</v>
      </c>
      <c r="AK2" s="213" t="s">
        <v>421</v>
      </c>
      <c r="AL2" s="213" t="s">
        <v>422</v>
      </c>
      <c r="AM2" s="213" t="s">
        <v>425</v>
      </c>
      <c r="AN2" s="213" t="s">
        <v>423</v>
      </c>
      <c r="AO2" s="213" t="s">
        <v>424</v>
      </c>
      <c r="AP2" s="213" t="s">
        <v>426</v>
      </c>
      <c r="AQ2" s="213" t="s">
        <v>427</v>
      </c>
      <c r="AR2" s="213" t="s">
        <v>428</v>
      </c>
      <c r="AS2" s="213" t="s">
        <v>429</v>
      </c>
      <c r="AT2" s="213" t="s">
        <v>430</v>
      </c>
      <c r="AU2" s="213" t="s">
        <v>431</v>
      </c>
      <c r="AV2" s="213" t="s">
        <v>432</v>
      </c>
      <c r="AW2" s="213" t="s">
        <v>433</v>
      </c>
      <c r="AX2" s="213" t="s">
        <v>434</v>
      </c>
      <c r="AY2" s="213" t="s">
        <v>435</v>
      </c>
      <c r="AZ2" s="213" t="s">
        <v>436</v>
      </c>
      <c r="BA2" s="213" t="s">
        <v>437</v>
      </c>
      <c r="BB2" s="213" t="s">
        <v>438</v>
      </c>
      <c r="BC2" s="213" t="s">
        <v>439</v>
      </c>
      <c r="BD2" s="213" t="s">
        <v>440</v>
      </c>
      <c r="BE2" s="213" t="s">
        <v>441</v>
      </c>
      <c r="BF2" s="213" t="s">
        <v>442</v>
      </c>
      <c r="BG2" s="213" t="s">
        <v>443</v>
      </c>
      <c r="BH2" s="213" t="s">
        <v>444</v>
      </c>
      <c r="BI2" s="213" t="s">
        <v>445</v>
      </c>
      <c r="BJ2" s="213" t="s">
        <v>446</v>
      </c>
      <c r="BK2" s="213" t="s">
        <v>447</v>
      </c>
      <c r="BL2" s="213" t="s">
        <v>448</v>
      </c>
      <c r="BM2" s="213" t="s">
        <v>449</v>
      </c>
      <c r="BN2" s="213" t="s">
        <v>450</v>
      </c>
      <c r="BO2" s="213" t="s">
        <v>451</v>
      </c>
      <c r="BP2" s="213" t="s">
        <v>452</v>
      </c>
      <c r="BQ2" s="213" t="s">
        <v>453</v>
      </c>
      <c r="BR2" s="213" t="s">
        <v>454</v>
      </c>
      <c r="BS2" s="213" t="s">
        <v>455</v>
      </c>
      <c r="BT2" s="213" t="s">
        <v>456</v>
      </c>
      <c r="BU2" s="213" t="s">
        <v>457</v>
      </c>
    </row>
    <row r="3" spans="1:555" hidden="1" x14ac:dyDescent="0.2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row>
    <row r="5" spans="1:555" ht="52.5" x14ac:dyDescent="0.25">
      <c r="C5" s="87" t="s">
        <v>382</v>
      </c>
      <c r="D5" s="458">
        <f>SUMIF($C:$C,$C$10,D:D)</f>
        <v>222000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SUM(F17:F23)</f>
        <v>64000</v>
      </c>
      <c r="E10" s="94"/>
      <c r="F10" s="94"/>
      <c r="G10" s="79"/>
      <c r="H10" s="94"/>
      <c r="I10" s="121"/>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390</v>
      </c>
      <c r="D13" s="368" t="str">
        <f>'15. Gobernabilidad y Proceso...'!G10</f>
        <v>3.1.1</v>
      </c>
      <c r="E13" s="93"/>
      <c r="F13" s="93"/>
      <c r="G13" s="93"/>
      <c r="H13" s="76"/>
      <c r="I13" s="76"/>
      <c r="J13" s="76"/>
      <c r="K13" s="112"/>
    </row>
    <row r="14" spans="1:555" ht="18.75" x14ac:dyDescent="0.2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Proceso...'!$G:$H,2,FALSE),IFERROR(VLOOKUP(D13,'12.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U.'!$G:$H,2,0)))))))))))))))))</f>
        <v>3.1.1 a) Diseño e impresión de materiales promocionales para la socializacion de la Figura del CU, Unidad contra el Acoso Sexual, al inicio de cada período académico con el fin de prevenir, sancionar y erradicar el acoso sexual en la UNAH, en Ciudad Universitaria (mediante el equipo de trabajo del comisionado univertario, Facilitadores en DDHH) y Centros Regionales y Facultad de Ciencias Médicas (a través de las Juntas Directivas Estudiantiles) involucrando a todo el personal. b) Participación en los Cursos de Introducción a la Vida Universitaria.</v>
      </c>
      <c r="D14" s="31"/>
      <c r="E14" s="93"/>
      <c r="F14" s="93"/>
      <c r="G14" s="93"/>
      <c r="H14" s="76"/>
      <c r="I14" s="76"/>
      <c r="J14" s="76"/>
      <c r="K14" s="112"/>
    </row>
    <row r="15" spans="1:555" ht="15.75" thickBot="1" x14ac:dyDescent="0.3">
      <c r="B15" s="93"/>
      <c r="C15" s="70"/>
      <c r="D15" s="31"/>
      <c r="E15" s="93"/>
      <c r="F15" s="93"/>
      <c r="G15" s="93"/>
      <c r="H15" s="76"/>
      <c r="I15" s="76"/>
      <c r="J15" s="76"/>
      <c r="K15" s="112"/>
    </row>
    <row r="16" spans="1:555" ht="15.75" thickBot="1" x14ac:dyDescent="0.3">
      <c r="B16" s="93"/>
      <c r="C16" s="126" t="s">
        <v>44</v>
      </c>
      <c r="D16" s="128" t="s">
        <v>55</v>
      </c>
      <c r="E16" s="128" t="s">
        <v>57</v>
      </c>
      <c r="F16" s="127" t="s">
        <v>27</v>
      </c>
      <c r="G16" s="133" t="s">
        <v>129</v>
      </c>
      <c r="H16" s="128" t="s">
        <v>46</v>
      </c>
      <c r="I16" s="128" t="s">
        <v>130</v>
      </c>
      <c r="J16" s="128" t="s">
        <v>408</v>
      </c>
      <c r="K16" s="128" t="s">
        <v>409</v>
      </c>
    </row>
    <row r="17" spans="2:11" ht="30" x14ac:dyDescent="0.25">
      <c r="B17" s="93"/>
      <c r="C17" s="604" t="s">
        <v>1878</v>
      </c>
      <c r="D17" s="158">
        <v>1</v>
      </c>
      <c r="E17" s="96">
        <v>15000</v>
      </c>
      <c r="F17" s="97">
        <f>D17*E17</f>
        <v>15000</v>
      </c>
      <c r="G17" s="161" t="s">
        <v>1675</v>
      </c>
      <c r="H17" s="98" t="s">
        <v>983</v>
      </c>
      <c r="I17" s="98" t="str">
        <f>VLOOKUP(H17,Presupuesto!$B$11:$C$565,2,0)</f>
        <v>MUEBLES VARIOS DE OFICINA</v>
      </c>
      <c r="J17" s="218" t="s">
        <v>1366</v>
      </c>
      <c r="K17" s="98" t="s">
        <v>393</v>
      </c>
    </row>
    <row r="18" spans="2:11" ht="32.25" customHeight="1" x14ac:dyDescent="0.25">
      <c r="B18" s="93"/>
      <c r="C18" s="99" t="s">
        <v>1880</v>
      </c>
      <c r="D18" s="151">
        <v>5</v>
      </c>
      <c r="E18" s="100">
        <v>5000</v>
      </c>
      <c r="F18" s="97">
        <f t="shared" ref="F18:F23" si="0">D18*E18</f>
        <v>25000</v>
      </c>
      <c r="G18" s="161" t="s">
        <v>1675</v>
      </c>
      <c r="H18" s="98" t="s">
        <v>983</v>
      </c>
      <c r="I18" s="98" t="str">
        <f>VLOOKUP(H18,Presupuesto!$B$11:$C$565,2,0)</f>
        <v>MUEBLES VARIOS DE OFICINA</v>
      </c>
      <c r="J18" s="218" t="s">
        <v>1366</v>
      </c>
      <c r="K18" s="98" t="s">
        <v>393</v>
      </c>
    </row>
    <row r="19" spans="2:11" x14ac:dyDescent="0.25">
      <c r="B19" s="93"/>
      <c r="C19" s="99" t="s">
        <v>1881</v>
      </c>
      <c r="D19" s="151">
        <v>5</v>
      </c>
      <c r="E19" s="100">
        <v>1000</v>
      </c>
      <c r="F19" s="97">
        <f t="shared" si="0"/>
        <v>5000</v>
      </c>
      <c r="G19" s="161" t="s">
        <v>1675</v>
      </c>
      <c r="H19" s="98" t="s">
        <v>983</v>
      </c>
      <c r="I19" s="98" t="str">
        <f>VLOOKUP(H19,Presupuesto!$B$11:$C$565,2,0)</f>
        <v>MUEBLES VARIOS DE OFICINA</v>
      </c>
      <c r="J19" s="218" t="s">
        <v>1366</v>
      </c>
      <c r="K19" s="98" t="s">
        <v>393</v>
      </c>
    </row>
    <row r="20" spans="2:11" x14ac:dyDescent="0.25">
      <c r="B20" s="93"/>
      <c r="C20" s="99" t="s">
        <v>1881</v>
      </c>
      <c r="D20" s="151"/>
      <c r="E20" s="100"/>
      <c r="F20" s="97">
        <f t="shared" si="0"/>
        <v>0</v>
      </c>
      <c r="G20" s="161" t="s">
        <v>1675</v>
      </c>
      <c r="H20" s="98" t="s">
        <v>983</v>
      </c>
      <c r="I20" s="98" t="str">
        <f>VLOOKUP(H20,Presupuesto!$B$11:$C$565,2,0)</f>
        <v>MUEBLES VARIOS DE OFICINA</v>
      </c>
      <c r="J20" s="218" t="s">
        <v>1366</v>
      </c>
      <c r="K20" s="98" t="s">
        <v>393</v>
      </c>
    </row>
    <row r="21" spans="2:11" ht="30" x14ac:dyDescent="0.25">
      <c r="B21" s="93"/>
      <c r="C21" s="606" t="s">
        <v>1882</v>
      </c>
      <c r="D21" s="151">
        <v>1</v>
      </c>
      <c r="E21" s="100">
        <v>5000</v>
      </c>
      <c r="F21" s="97">
        <f t="shared" si="0"/>
        <v>5000</v>
      </c>
      <c r="G21" s="161" t="s">
        <v>1675</v>
      </c>
      <c r="H21" s="98" t="s">
        <v>983</v>
      </c>
      <c r="I21" s="98" t="str">
        <f>VLOOKUP(H21,Presupuesto!$B$11:$C$565,2,0)</f>
        <v>MUEBLES VARIOS DE OFICINA</v>
      </c>
      <c r="J21" s="218" t="s">
        <v>1366</v>
      </c>
      <c r="K21" s="98" t="s">
        <v>393</v>
      </c>
    </row>
    <row r="22" spans="2:11" x14ac:dyDescent="0.25">
      <c r="B22" s="93"/>
      <c r="C22" s="99" t="s">
        <v>1933</v>
      </c>
      <c r="D22" s="151">
        <v>2</v>
      </c>
      <c r="E22" s="100">
        <v>3000</v>
      </c>
      <c r="F22" s="97">
        <f t="shared" si="0"/>
        <v>6000</v>
      </c>
      <c r="G22" s="161" t="s">
        <v>1675</v>
      </c>
      <c r="H22" s="98" t="s">
        <v>983</v>
      </c>
      <c r="I22" s="98" t="str">
        <f>VLOOKUP(H22,Presupuesto!$B$11:$C$565,2,0)</f>
        <v>MUEBLES VARIOS DE OFICINA</v>
      </c>
      <c r="J22" s="218" t="s">
        <v>1366</v>
      </c>
      <c r="K22" s="98" t="s">
        <v>393</v>
      </c>
    </row>
    <row r="23" spans="2:11" x14ac:dyDescent="0.25">
      <c r="B23" s="93"/>
      <c r="C23" s="99" t="s">
        <v>69</v>
      </c>
      <c r="D23" s="151">
        <v>1</v>
      </c>
      <c r="E23" s="100">
        <v>8000</v>
      </c>
      <c r="F23" s="97">
        <f t="shared" si="0"/>
        <v>8000</v>
      </c>
      <c r="G23" s="161" t="s">
        <v>1675</v>
      </c>
      <c r="H23" s="101" t="s">
        <v>986</v>
      </c>
      <c r="I23" s="98" t="str">
        <f>VLOOKUP(H23,Presupuesto!$B$11:$C$565,2,0)</f>
        <v>EQUIPOS VARIOS DE OFICINA</v>
      </c>
      <c r="J23" s="218" t="s">
        <v>1366</v>
      </c>
      <c r="K23" s="98" t="s">
        <v>393</v>
      </c>
    </row>
    <row r="24" spans="2:11" x14ac:dyDescent="0.25">
      <c r="B24" s="93"/>
      <c r="C24" s="99" t="s">
        <v>70</v>
      </c>
      <c r="D24" s="151"/>
      <c r="E24" s="100">
        <v>2000</v>
      </c>
      <c r="F24" s="97">
        <f t="shared" ref="F24:F26" si="1">D24*E24</f>
        <v>0</v>
      </c>
      <c r="G24" s="161"/>
      <c r="H24" s="101" t="s">
        <v>986</v>
      </c>
      <c r="I24" s="98" t="str">
        <f>VLOOKUP(H24,Presupuesto!$B$11:$C$565,2,0)</f>
        <v>EQUIPOS VARIOS DE OFICINA</v>
      </c>
      <c r="J24" s="218" t="s">
        <v>1366</v>
      </c>
      <c r="K24" s="98" t="s">
        <v>393</v>
      </c>
    </row>
    <row r="25" spans="2:11" x14ac:dyDescent="0.25">
      <c r="B25" s="93"/>
      <c r="C25" s="99" t="s">
        <v>71</v>
      </c>
      <c r="D25" s="151"/>
      <c r="E25" s="100">
        <v>5000</v>
      </c>
      <c r="F25" s="97">
        <f t="shared" si="1"/>
        <v>0</v>
      </c>
      <c r="G25" s="161"/>
      <c r="H25" s="101" t="s">
        <v>986</v>
      </c>
      <c r="I25" s="98" t="str">
        <f>VLOOKUP(H25,Presupuesto!$B$11:$C$565,2,0)</f>
        <v>EQUIPOS VARIOS DE OFICINA</v>
      </c>
      <c r="J25" s="218" t="s">
        <v>1366</v>
      </c>
      <c r="K25" s="98" t="s">
        <v>393</v>
      </c>
    </row>
    <row r="26" spans="2:11" ht="15.75" thickBot="1" x14ac:dyDescent="0.3">
      <c r="B26" s="93"/>
      <c r="C26" s="102" t="s">
        <v>72</v>
      </c>
      <c r="D26" s="159"/>
      <c r="E26" s="104">
        <v>100000</v>
      </c>
      <c r="F26" s="105">
        <f t="shared" si="1"/>
        <v>0</v>
      </c>
      <c r="G26" s="162"/>
      <c r="H26" s="106" t="s">
        <v>986</v>
      </c>
      <c r="I26" s="106" t="str">
        <f>VLOOKUP(H26,Presupuesto!$B$11:$C$565,2,0)</f>
        <v>EQUIPOS VARIOS DE OFICINA</v>
      </c>
      <c r="J26" s="218" t="s">
        <v>1366</v>
      </c>
      <c r="K26" s="124" t="s">
        <v>392</v>
      </c>
    </row>
    <row r="27" spans="2:11" x14ac:dyDescent="0.25">
      <c r="B27" s="93"/>
    </row>
    <row r="28" spans="2:11" ht="15.75" thickBot="1" x14ac:dyDescent="0.3">
      <c r="B28" s="93"/>
      <c r="C28" s="335"/>
      <c r="D28" s="336"/>
      <c r="E28" s="337"/>
      <c r="F28" s="337"/>
      <c r="G28" s="338"/>
      <c r="H28" s="337"/>
      <c r="I28" s="467" t="s">
        <v>986</v>
      </c>
      <c r="J28" s="155"/>
      <c r="K28" s="155"/>
    </row>
    <row r="29" spans="2:11" ht="15.75" thickBot="1" x14ac:dyDescent="0.3">
      <c r="B29" s="93"/>
      <c r="C29" s="29" t="s">
        <v>43</v>
      </c>
      <c r="D29" s="30">
        <f>SUM(F36:F47)</f>
        <v>158000</v>
      </c>
      <c r="E29" s="177"/>
      <c r="F29" s="627"/>
      <c r="G29" s="79"/>
      <c r="H29" s="177"/>
      <c r="I29" s="177"/>
    </row>
    <row r="30" spans="2:11" x14ac:dyDescent="0.25">
      <c r="C30" s="70"/>
      <c r="D30" s="31"/>
      <c r="E30" s="93"/>
      <c r="F30" s="93"/>
      <c r="G30" s="93"/>
      <c r="H30" s="76"/>
      <c r="I30" s="76"/>
      <c r="J30" s="76"/>
      <c r="K30" s="112"/>
    </row>
    <row r="31" spans="2:11" x14ac:dyDescent="0.25">
      <c r="C31" s="70"/>
      <c r="D31" s="31"/>
      <c r="E31" s="93"/>
      <c r="F31" s="93"/>
      <c r="G31" s="93"/>
      <c r="H31" s="76"/>
      <c r="I31" s="76"/>
      <c r="J31" s="76"/>
      <c r="K31" s="112"/>
    </row>
    <row r="32" spans="2:11" ht="15.75" x14ac:dyDescent="0.25">
      <c r="C32" s="202" t="s">
        <v>390</v>
      </c>
      <c r="D32" s="368" t="str">
        <f>'15. Gobernabilidad y Proceso...'!G28</f>
        <v>1.3.8</v>
      </c>
      <c r="E32" s="93"/>
      <c r="F32" s="93"/>
      <c r="G32" s="93"/>
      <c r="H32" s="76"/>
      <c r="I32" s="76"/>
      <c r="J32" s="76"/>
      <c r="K32" s="112"/>
    </row>
    <row r="33" spans="3:11" ht="18.75" x14ac:dyDescent="0.25">
      <c r="C33" s="210" t="str">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Proceso...'!$G:$H,2,FALSE),IFERROR(VLOOKUP(D32,'12.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U.'!$G:$H,2,0)))))))))))))))))</f>
        <v>Equipo de Oficina a Aduirir a) Un sillon (UNAH_VS), a) una unidad de aire acondicionado de 24 btu;, b)escritorio ejecutivo, c) Una silla ejecutiva, d) Modulares (CURLA) . a) Una silla ejecutiva; b) Librero; Para Delegaciones Nuevas a) 4 Escritorio b ) 4 Sillas ejecutivas c) 2 Mesa para Reuniones d) Sillas de Espera e) Archivo grande UCAS</v>
      </c>
      <c r="D33" s="31"/>
      <c r="E33" s="93"/>
      <c r="F33" s="93"/>
      <c r="G33" s="93"/>
      <c r="H33" s="76"/>
      <c r="I33" s="76"/>
      <c r="J33" s="76"/>
      <c r="K33" s="112"/>
    </row>
    <row r="34" spans="3:11" ht="15.75" thickBot="1" x14ac:dyDescent="0.3">
      <c r="C34" s="70"/>
      <c r="D34" s="31"/>
      <c r="E34" s="93"/>
      <c r="F34" s="93"/>
      <c r="G34" s="93"/>
      <c r="H34" s="76"/>
      <c r="I34" s="76"/>
      <c r="J34" s="76"/>
      <c r="K34" s="112"/>
    </row>
    <row r="35" spans="3:11" ht="15.75" thickBot="1" x14ac:dyDescent="0.3">
      <c r="C35" s="126" t="s">
        <v>44</v>
      </c>
      <c r="D35" s="128" t="s">
        <v>55</v>
      </c>
      <c r="E35" s="128" t="s">
        <v>57</v>
      </c>
      <c r="F35" s="127" t="s">
        <v>27</v>
      </c>
      <c r="G35" s="133" t="s">
        <v>129</v>
      </c>
      <c r="H35" s="128" t="s">
        <v>46</v>
      </c>
      <c r="I35" s="128" t="s">
        <v>130</v>
      </c>
      <c r="J35" s="128" t="s">
        <v>408</v>
      </c>
      <c r="K35" s="128" t="s">
        <v>409</v>
      </c>
    </row>
    <row r="36" spans="3:11" x14ac:dyDescent="0.25">
      <c r="C36" s="95" t="s">
        <v>63</v>
      </c>
      <c r="D36" s="158">
        <f>2+1+1</f>
        <v>4</v>
      </c>
      <c r="E36" s="96">
        <v>2800</v>
      </c>
      <c r="F36" s="97">
        <f>D36*E36</f>
        <v>11200</v>
      </c>
      <c r="G36" s="161" t="s">
        <v>1675</v>
      </c>
      <c r="H36" s="98" t="s">
        <v>983</v>
      </c>
      <c r="I36" s="98" t="str">
        <f>VLOOKUP(H36,Presupuesto!$B$11:$C$565,2,0)</f>
        <v>MUEBLES VARIOS DE OFICINA</v>
      </c>
      <c r="J36" s="218" t="s">
        <v>1366</v>
      </c>
      <c r="K36" s="98" t="s">
        <v>410</v>
      </c>
    </row>
    <row r="37" spans="3:11" x14ac:dyDescent="0.25">
      <c r="C37" s="99" t="s">
        <v>64</v>
      </c>
      <c r="D37" s="151">
        <v>2</v>
      </c>
      <c r="E37" s="100">
        <v>2400</v>
      </c>
      <c r="F37" s="97">
        <f t="shared" ref="F37:F47" si="2">D37*E37</f>
        <v>4800</v>
      </c>
      <c r="G37" s="161" t="s">
        <v>1675</v>
      </c>
      <c r="H37" s="101" t="s">
        <v>983</v>
      </c>
      <c r="I37" s="98" t="str">
        <f>VLOOKUP(H37,Presupuesto!$B$11:$C$565,2,0)</f>
        <v>MUEBLES VARIOS DE OFICINA</v>
      </c>
      <c r="J37" s="98" t="str">
        <f>$J$36</f>
        <v>Gobernabilidad y Procesos  de Gestión Descentralizada en Redes</v>
      </c>
      <c r="K37" s="98" t="s">
        <v>410</v>
      </c>
    </row>
    <row r="38" spans="3:11" x14ac:dyDescent="0.25">
      <c r="C38" s="99" t="s">
        <v>65</v>
      </c>
      <c r="D38" s="151">
        <v>8</v>
      </c>
      <c r="E38" s="100">
        <v>1000</v>
      </c>
      <c r="F38" s="97">
        <f t="shared" si="2"/>
        <v>8000</v>
      </c>
      <c r="G38" s="161" t="s">
        <v>1675</v>
      </c>
      <c r="H38" s="101" t="s">
        <v>983</v>
      </c>
      <c r="I38" s="98" t="str">
        <f>VLOOKUP(H38,Presupuesto!$B$11:$C$565,2,0)</f>
        <v>MUEBLES VARIOS DE OFICINA</v>
      </c>
      <c r="J38" s="98" t="str">
        <f t="shared" ref="J38:J47" si="3">$J$36</f>
        <v>Gobernabilidad y Procesos  de Gestión Descentralizada en Redes</v>
      </c>
      <c r="K38" s="98" t="s">
        <v>410</v>
      </c>
    </row>
    <row r="39" spans="3:11" x14ac:dyDescent="0.25">
      <c r="C39" s="99" t="s">
        <v>66</v>
      </c>
      <c r="D39" s="151">
        <v>4</v>
      </c>
      <c r="E39" s="100">
        <v>6000</v>
      </c>
      <c r="F39" s="97">
        <f t="shared" si="2"/>
        <v>24000</v>
      </c>
      <c r="G39" s="161" t="s">
        <v>1675</v>
      </c>
      <c r="H39" s="101" t="s">
        <v>983</v>
      </c>
      <c r="I39" s="98" t="str">
        <f>VLOOKUP(H39,Presupuesto!$B$11:$C$565,2,0)</f>
        <v>MUEBLES VARIOS DE OFICINA</v>
      </c>
      <c r="J39" s="98" t="str">
        <f t="shared" si="3"/>
        <v>Gobernabilidad y Procesos  de Gestión Descentralizada en Redes</v>
      </c>
      <c r="K39" s="98" t="s">
        <v>410</v>
      </c>
    </row>
    <row r="40" spans="3:11" s="463" customFormat="1" x14ac:dyDescent="0.25">
      <c r="C40" s="99" t="s">
        <v>1898</v>
      </c>
      <c r="D40" s="151">
        <v>2</v>
      </c>
      <c r="E40" s="100">
        <v>1000</v>
      </c>
      <c r="F40" s="97">
        <f t="shared" si="2"/>
        <v>2000</v>
      </c>
      <c r="G40" s="161" t="s">
        <v>1675</v>
      </c>
      <c r="H40" s="101" t="s">
        <v>983</v>
      </c>
      <c r="I40" s="98" t="str">
        <f>VLOOKUP(H40,Presupuesto!$B$11:$C$565,2,0)</f>
        <v>MUEBLES VARIOS DE OFICINA</v>
      </c>
      <c r="J40" s="98" t="str">
        <f t="shared" si="3"/>
        <v>Gobernabilidad y Procesos  de Gestión Descentralizada en Redes</v>
      </c>
      <c r="K40" s="98" t="s">
        <v>410</v>
      </c>
    </row>
    <row r="41" spans="3:11" x14ac:dyDescent="0.25">
      <c r="C41" s="99" t="s">
        <v>67</v>
      </c>
      <c r="D41" s="151">
        <v>0</v>
      </c>
      <c r="E41" s="100">
        <v>3000</v>
      </c>
      <c r="F41" s="97">
        <f t="shared" si="2"/>
        <v>0</v>
      </c>
      <c r="G41" s="161"/>
      <c r="H41" s="101" t="s">
        <v>983</v>
      </c>
      <c r="I41" s="98" t="str">
        <f>VLOOKUP(H41,Presupuesto!$B$11:$C$565,2,0)</f>
        <v>MUEBLES VARIOS DE OFICINA</v>
      </c>
      <c r="J41" s="98" t="str">
        <f t="shared" si="3"/>
        <v>Gobernabilidad y Procesos  de Gestión Descentralizada en Redes</v>
      </c>
      <c r="K41" s="98" t="s">
        <v>410</v>
      </c>
    </row>
    <row r="42" spans="3:11" x14ac:dyDescent="0.25">
      <c r="C42" s="99" t="s">
        <v>68</v>
      </c>
      <c r="D42" s="151">
        <v>2</v>
      </c>
      <c r="E42" s="100">
        <v>10000</v>
      </c>
      <c r="F42" s="97">
        <f t="shared" si="2"/>
        <v>20000</v>
      </c>
      <c r="G42" s="161" t="s">
        <v>1675</v>
      </c>
      <c r="H42" s="101" t="s">
        <v>983</v>
      </c>
      <c r="I42" s="98" t="str">
        <f>VLOOKUP(H42,Presupuesto!$B$11:$C$565,2,0)</f>
        <v>MUEBLES VARIOS DE OFICINA</v>
      </c>
      <c r="J42" s="98" t="str">
        <f t="shared" si="3"/>
        <v>Gobernabilidad y Procesos  de Gestión Descentralizada en Redes</v>
      </c>
      <c r="K42" s="98" t="s">
        <v>410</v>
      </c>
    </row>
    <row r="43" spans="3:11" s="463" customFormat="1" x14ac:dyDescent="0.25">
      <c r="C43" s="99" t="s">
        <v>1897</v>
      </c>
      <c r="D43" s="151">
        <f>1+2</f>
        <v>3</v>
      </c>
      <c r="E43" s="100">
        <v>24000</v>
      </c>
      <c r="F43" s="97">
        <f t="shared" si="2"/>
        <v>72000</v>
      </c>
      <c r="G43" s="161" t="s">
        <v>1675</v>
      </c>
      <c r="H43" s="101" t="s">
        <v>983</v>
      </c>
      <c r="I43" s="98"/>
      <c r="J43" s="98" t="str">
        <f t="shared" si="3"/>
        <v>Gobernabilidad y Procesos  de Gestión Descentralizada en Redes</v>
      </c>
      <c r="K43" s="98" t="s">
        <v>410</v>
      </c>
    </row>
    <row r="44" spans="3:11" x14ac:dyDescent="0.25">
      <c r="C44" s="99" t="s">
        <v>69</v>
      </c>
      <c r="D44" s="151">
        <v>2</v>
      </c>
      <c r="E44" s="100">
        <v>8000</v>
      </c>
      <c r="F44" s="97">
        <f t="shared" si="2"/>
        <v>16000</v>
      </c>
      <c r="G44" s="161" t="s">
        <v>1675</v>
      </c>
      <c r="H44" s="101" t="s">
        <v>986</v>
      </c>
      <c r="I44" s="98" t="str">
        <f>VLOOKUP(H44,Presupuesto!$B$11:$C$565,2,0)</f>
        <v>EQUIPOS VARIOS DE OFICINA</v>
      </c>
      <c r="J44" s="98" t="str">
        <f t="shared" si="3"/>
        <v>Gobernabilidad y Procesos  de Gestión Descentralizada en Redes</v>
      </c>
      <c r="K44" s="98" t="s">
        <v>393</v>
      </c>
    </row>
    <row r="45" spans="3:11" x14ac:dyDescent="0.25">
      <c r="C45" s="99" t="s">
        <v>70</v>
      </c>
      <c r="D45" s="151"/>
      <c r="E45" s="100">
        <v>2000</v>
      </c>
      <c r="F45" s="97">
        <f t="shared" si="2"/>
        <v>0</v>
      </c>
      <c r="G45" s="161"/>
      <c r="H45" s="101" t="s">
        <v>986</v>
      </c>
      <c r="I45" s="98" t="str">
        <f>VLOOKUP(H45,Presupuesto!$B$11:$C$565,2,0)</f>
        <v>EQUIPOS VARIOS DE OFICINA</v>
      </c>
      <c r="J45" s="98" t="str">
        <f t="shared" si="3"/>
        <v>Gobernabilidad y Procesos  de Gestión Descentralizada en Redes</v>
      </c>
      <c r="K45" s="98" t="s">
        <v>401</v>
      </c>
    </row>
    <row r="46" spans="3:11" x14ac:dyDescent="0.25">
      <c r="C46" s="99" t="s">
        <v>71</v>
      </c>
      <c r="D46" s="151"/>
      <c r="E46" s="100">
        <v>5000</v>
      </c>
      <c r="F46" s="97">
        <f t="shared" si="2"/>
        <v>0</v>
      </c>
      <c r="G46" s="161"/>
      <c r="H46" s="101" t="s">
        <v>986</v>
      </c>
      <c r="I46" s="98" t="str">
        <f>VLOOKUP(H46,Presupuesto!$B$11:$C$565,2,0)</f>
        <v>EQUIPOS VARIOS DE OFICINA</v>
      </c>
      <c r="J46" s="98" t="str">
        <f t="shared" si="3"/>
        <v>Gobernabilidad y Procesos  de Gestión Descentralizada en Redes</v>
      </c>
      <c r="K46" s="98" t="s">
        <v>397</v>
      </c>
    </row>
    <row r="47" spans="3:11" ht="15.75" thickBot="1" x14ac:dyDescent="0.3">
      <c r="C47" s="102" t="s">
        <v>72</v>
      </c>
      <c r="D47" s="159"/>
      <c r="E47" s="104">
        <v>100000</v>
      </c>
      <c r="F47" s="97">
        <f t="shared" si="2"/>
        <v>0</v>
      </c>
      <c r="G47" s="162"/>
      <c r="H47" s="106" t="s">
        <v>986</v>
      </c>
      <c r="I47" s="106" t="str">
        <f>VLOOKUP(H47,Presupuesto!$B$11:$C$565,2,0)</f>
        <v>EQUIPOS VARIOS DE OFICINA</v>
      </c>
      <c r="J47" s="106" t="str">
        <f t="shared" si="3"/>
        <v>Gobernabilidad y Procesos  de Gestión Descentralizada en Redes</v>
      </c>
      <c r="K47" s="124" t="s">
        <v>392</v>
      </c>
    </row>
    <row r="49" spans="3:11" ht="15.75" thickBot="1" x14ac:dyDescent="0.3"/>
    <row r="50" spans="3:11" ht="15.75" thickBot="1" x14ac:dyDescent="0.3">
      <c r="C50" s="29" t="s">
        <v>43</v>
      </c>
      <c r="D50" s="30">
        <f>SUM(F57:F66)</f>
        <v>0</v>
      </c>
      <c r="E50" s="177"/>
      <c r="F50" s="177"/>
      <c r="G50" s="600"/>
      <c r="H50" s="177"/>
      <c r="I50" s="177"/>
    </row>
    <row r="51" spans="3:11" x14ac:dyDescent="0.25">
      <c r="C51" s="70"/>
      <c r="D51" s="31"/>
      <c r="E51" s="93"/>
      <c r="F51" s="93"/>
      <c r="G51" s="93"/>
      <c r="H51" s="76"/>
      <c r="I51" s="76"/>
      <c r="J51" s="76"/>
      <c r="K51" s="112"/>
    </row>
    <row r="52" spans="3:11" x14ac:dyDescent="0.25">
      <c r="C52" s="70"/>
      <c r="D52" s="31"/>
      <c r="E52" s="93"/>
      <c r="F52" s="93"/>
      <c r="G52" s="93"/>
      <c r="H52" s="76"/>
      <c r="I52" s="76"/>
      <c r="J52" s="76"/>
      <c r="K52" s="112"/>
    </row>
    <row r="53" spans="3:11" ht="15.75" x14ac:dyDescent="0.25">
      <c r="C53" s="202" t="s">
        <v>390</v>
      </c>
      <c r="D53" s="368"/>
      <c r="E53" s="93"/>
      <c r="F53" s="93"/>
      <c r="G53" s="93"/>
      <c r="H53" s="76"/>
      <c r="I53" s="76"/>
      <c r="J53" s="76"/>
      <c r="K53" s="112"/>
    </row>
    <row r="54" spans="3:11" ht="18.75" x14ac:dyDescent="0.25">
      <c r="C54" s="210" t="e">
        <f>IFERROR(VLOOKUP(D53,'1. Desarrollo e Innov. Curricu.'!$F:$G,2,FALSE),IFERROR(VLOOKUP(D53,'2. Investigación Científica'!$F:$G,2,FALSE),IFERROR(VLOOKUP(D53,'3. Vinculación Univ. Sociedad'!$F:$G,2,FALSE),IFERROR(VLOOKUP(D53,'4. Docencia y Profesorado Univ.'!$F:$G,2,FALSE),IFERROR(VLOOKUP(D53,'5. Estudiantes y Graduados'!$F:$G,2,FALSE),IFERROR(VLOOKUP(D53,'11. Gestion Administrativa'!$F:$G,2,FALSE),IFERROR(VLOOKUP(D53,'13. Gestión Académica'!$F:$G,2,FALSE),IFERROR(VLOOKUP(D53,'9. Asegura. de la Calid. y M'!$F:$G,2,FALSE),IFERROR(VLOOKUP(D53,'6. Gestión del Conocimiento'!$F:$G,2,FALSE),IFERROR(VLOOKUP(D53,'15. Gobernabilidad y Proceso...'!$G:$H,2,FALSE),IFERROR(VLOOKUP(D53,'12. Gestión del Talento Humano'!$F:$G,2,FALSE),IFERROR(VLOOKUP(D53,'14. Internacional... de la E.S.'!$F:$G,2,FALSE),IFERROR(VLOOKUP(D53,'10. Posgrado'!$F:$G,2,FALSE),IFERROR(VLOOKUP(D53,'17. Gestión TIC'!$F:$G,2,FALSE),IFERROR(VLOOKUP(D53,'16. Desa. del Sistema Educ.Sup.'!$F:$G,2,FALSE),IFERROR(VLOOKUP(D53,'8. Cultura de Inno. Insti...'!$F:$G,2,FALSE),VLOOKUP(D53,'7. Lo Esencial de la Reforma U.'!$G:$H,2,0)))))))))))))))))</f>
        <v>#N/A</v>
      </c>
      <c r="D54" s="31"/>
      <c r="E54" s="93"/>
      <c r="F54" s="93"/>
      <c r="G54" s="93"/>
      <c r="H54" s="76"/>
      <c r="I54" s="76"/>
      <c r="J54" s="76"/>
      <c r="K54" s="112"/>
    </row>
    <row r="55" spans="3:11" ht="15.75" thickBot="1" x14ac:dyDescent="0.3">
      <c r="C55" s="70"/>
      <c r="D55" s="31"/>
      <c r="E55" s="93"/>
      <c r="F55" s="93"/>
      <c r="G55" s="93"/>
      <c r="H55" s="76"/>
      <c r="I55" s="76"/>
      <c r="J55" s="76"/>
      <c r="K55" s="112"/>
    </row>
    <row r="56" spans="3:11" ht="15.75" thickBot="1" x14ac:dyDescent="0.3">
      <c r="C56" s="126" t="s">
        <v>44</v>
      </c>
      <c r="D56" s="128" t="s">
        <v>55</v>
      </c>
      <c r="E56" s="128" t="s">
        <v>57</v>
      </c>
      <c r="F56" s="127" t="s">
        <v>27</v>
      </c>
      <c r="G56" s="133" t="s">
        <v>129</v>
      </c>
      <c r="H56" s="128" t="s">
        <v>46</v>
      </c>
      <c r="I56" s="128" t="s">
        <v>130</v>
      </c>
      <c r="J56" s="128" t="s">
        <v>408</v>
      </c>
      <c r="K56" s="128" t="s">
        <v>409</v>
      </c>
    </row>
    <row r="57" spans="3:11" x14ac:dyDescent="0.25">
      <c r="C57" s="95" t="s">
        <v>63</v>
      </c>
      <c r="D57" s="158"/>
      <c r="E57" s="96">
        <v>2800</v>
      </c>
      <c r="F57" s="97">
        <f>D57*E57</f>
        <v>0</v>
      </c>
      <c r="G57" s="161"/>
      <c r="H57" s="98" t="s">
        <v>983</v>
      </c>
      <c r="I57" s="98" t="str">
        <f>VLOOKUP(H57,Presupuesto!$B$11:$C$565,2,0)</f>
        <v>MUEBLES VARIOS DE OFICINA</v>
      </c>
      <c r="J57" s="218" t="s">
        <v>1443</v>
      </c>
      <c r="K57" s="98" t="s">
        <v>402</v>
      </c>
    </row>
    <row r="58" spans="3:11" x14ac:dyDescent="0.25">
      <c r="C58" s="99" t="s">
        <v>64</v>
      </c>
      <c r="D58" s="151"/>
      <c r="E58" s="100">
        <v>2400</v>
      </c>
      <c r="F58" s="97">
        <f>D58*E58</f>
        <v>0</v>
      </c>
      <c r="G58" s="161"/>
      <c r="H58" s="101" t="s">
        <v>983</v>
      </c>
      <c r="I58" s="98" t="str">
        <f>VLOOKUP(H58,Presupuesto!$B$11:$C$565,2,0)</f>
        <v>MUEBLES VARIOS DE OFICINA</v>
      </c>
      <c r="J58" s="98" t="str">
        <f>$J$57</f>
        <v>Posgrado</v>
      </c>
      <c r="K58" s="98" t="s">
        <v>410</v>
      </c>
    </row>
    <row r="59" spans="3:11" x14ac:dyDescent="0.25">
      <c r="C59" s="99" t="s">
        <v>65</v>
      </c>
      <c r="D59" s="151"/>
      <c r="E59" s="100">
        <v>1000</v>
      </c>
      <c r="F59" s="97">
        <f t="shared" ref="F59:F66" si="4">D59*E59</f>
        <v>0</v>
      </c>
      <c r="G59" s="161"/>
      <c r="H59" s="101" t="s">
        <v>983</v>
      </c>
      <c r="I59" s="98" t="str">
        <f>VLOOKUP(H59,Presupuesto!$B$11:$C$565,2,0)</f>
        <v>MUEBLES VARIOS DE OFICINA</v>
      </c>
      <c r="J59" s="98" t="str">
        <f t="shared" ref="J59:J66" si="5">$J$17</f>
        <v>Gobernabilidad y Procesos  de Gestión Descentralizada en Redes</v>
      </c>
      <c r="K59" s="98" t="s">
        <v>393</v>
      </c>
    </row>
    <row r="60" spans="3:11" x14ac:dyDescent="0.25">
      <c r="C60" s="99" t="s">
        <v>66</v>
      </c>
      <c r="D60" s="151"/>
      <c r="E60" s="100">
        <v>6000</v>
      </c>
      <c r="F60" s="97">
        <f t="shared" si="4"/>
        <v>0</v>
      </c>
      <c r="G60" s="161"/>
      <c r="H60" s="101" t="s">
        <v>983</v>
      </c>
      <c r="I60" s="98" t="str">
        <f>VLOOKUP(H60,Presupuesto!$B$11:$C$565,2,0)</f>
        <v>MUEBLES VARIOS DE OFICINA</v>
      </c>
      <c r="J60" s="98" t="str">
        <f t="shared" si="5"/>
        <v>Gobernabilidad y Procesos  de Gestión Descentralizada en Redes</v>
      </c>
      <c r="K60" s="98" t="s">
        <v>393</v>
      </c>
    </row>
    <row r="61" spans="3:11" x14ac:dyDescent="0.25">
      <c r="C61" s="99" t="s">
        <v>67</v>
      </c>
      <c r="D61" s="151"/>
      <c r="E61" s="100">
        <v>3000</v>
      </c>
      <c r="F61" s="97">
        <f t="shared" si="4"/>
        <v>0</v>
      </c>
      <c r="G61" s="161"/>
      <c r="H61" s="101" t="s">
        <v>983</v>
      </c>
      <c r="I61" s="98" t="str">
        <f>VLOOKUP(H61,Presupuesto!$B$11:$C$565,2,0)</f>
        <v>MUEBLES VARIOS DE OFICINA</v>
      </c>
      <c r="J61" s="98" t="str">
        <f t="shared" si="5"/>
        <v>Gobernabilidad y Procesos  de Gestión Descentralizada en Redes</v>
      </c>
      <c r="K61" s="98" t="s">
        <v>393</v>
      </c>
    </row>
    <row r="62" spans="3:11" x14ac:dyDescent="0.25">
      <c r="C62" s="99" t="s">
        <v>68</v>
      </c>
      <c r="D62" s="151"/>
      <c r="E62" s="100">
        <v>10000</v>
      </c>
      <c r="F62" s="97">
        <f t="shared" si="4"/>
        <v>0</v>
      </c>
      <c r="G62" s="161"/>
      <c r="H62" s="101" t="s">
        <v>983</v>
      </c>
      <c r="I62" s="98" t="str">
        <f>VLOOKUP(H62,Presupuesto!$B$11:$C$565,2,0)</f>
        <v>MUEBLES VARIOS DE OFICINA</v>
      </c>
      <c r="J62" s="98" t="str">
        <f t="shared" si="5"/>
        <v>Gobernabilidad y Procesos  de Gestión Descentralizada en Redes</v>
      </c>
      <c r="K62" s="98" t="s">
        <v>393</v>
      </c>
    </row>
    <row r="63" spans="3:11" x14ac:dyDescent="0.25">
      <c r="C63" s="99" t="s">
        <v>69</v>
      </c>
      <c r="D63" s="151"/>
      <c r="E63" s="100">
        <v>8000</v>
      </c>
      <c r="F63" s="97">
        <f t="shared" si="4"/>
        <v>0</v>
      </c>
      <c r="G63" s="161"/>
      <c r="H63" s="101" t="s">
        <v>986</v>
      </c>
      <c r="I63" s="98" t="str">
        <f>VLOOKUP(H63,Presupuesto!$B$11:$C$565,2,0)</f>
        <v>EQUIPOS VARIOS DE OFICINA</v>
      </c>
      <c r="J63" s="98" t="str">
        <f t="shared" si="5"/>
        <v>Gobernabilidad y Procesos  de Gestión Descentralizada en Redes</v>
      </c>
      <c r="K63" s="98" t="s">
        <v>393</v>
      </c>
    </row>
    <row r="64" spans="3:11" x14ac:dyDescent="0.25">
      <c r="C64" s="99" t="s">
        <v>70</v>
      </c>
      <c r="D64" s="151"/>
      <c r="E64" s="100">
        <v>2000</v>
      </c>
      <c r="F64" s="97">
        <f t="shared" si="4"/>
        <v>0</v>
      </c>
      <c r="G64" s="161"/>
      <c r="H64" s="101" t="s">
        <v>986</v>
      </c>
      <c r="I64" s="98" t="str">
        <f>VLOOKUP(H64,Presupuesto!$B$11:$C$565,2,0)</f>
        <v>EQUIPOS VARIOS DE OFICINA</v>
      </c>
      <c r="J64" s="98" t="str">
        <f t="shared" si="5"/>
        <v>Gobernabilidad y Procesos  de Gestión Descentralizada en Redes</v>
      </c>
      <c r="K64" s="98" t="s">
        <v>401</v>
      </c>
    </row>
    <row r="65" spans="3:11" x14ac:dyDescent="0.25">
      <c r="C65" s="99" t="s">
        <v>71</v>
      </c>
      <c r="D65" s="151"/>
      <c r="E65" s="100">
        <v>5000</v>
      </c>
      <c r="F65" s="97">
        <f t="shared" si="4"/>
        <v>0</v>
      </c>
      <c r="G65" s="161"/>
      <c r="H65" s="101" t="s">
        <v>986</v>
      </c>
      <c r="I65" s="98" t="str">
        <f>VLOOKUP(H65,Presupuesto!$B$11:$C$565,2,0)</f>
        <v>EQUIPOS VARIOS DE OFICINA</v>
      </c>
      <c r="J65" s="98" t="str">
        <f t="shared" si="5"/>
        <v>Gobernabilidad y Procesos  de Gestión Descentralizada en Redes</v>
      </c>
      <c r="K65" s="98" t="s">
        <v>397</v>
      </c>
    </row>
    <row r="66" spans="3:11" ht="15.75" thickBot="1" x14ac:dyDescent="0.3">
      <c r="C66" s="102" t="s">
        <v>72</v>
      </c>
      <c r="D66" s="159"/>
      <c r="E66" s="104">
        <v>100000</v>
      </c>
      <c r="F66" s="105">
        <f t="shared" si="4"/>
        <v>0</v>
      </c>
      <c r="G66" s="162"/>
      <c r="H66" s="106" t="s">
        <v>986</v>
      </c>
      <c r="I66" s="106" t="str">
        <f>VLOOKUP(H66,Presupuesto!$B$11:$C$565,2,0)</f>
        <v>EQUIPOS VARIOS DE OFICINA</v>
      </c>
      <c r="J66" s="106" t="str">
        <f t="shared" si="5"/>
        <v>Gobernabilidad y Procesos  de Gestión Descentralizada en Redes</v>
      </c>
      <c r="K66" s="124" t="s">
        <v>392</v>
      </c>
    </row>
    <row r="68" spans="3:11" ht="15.75" thickBot="1" x14ac:dyDescent="0.3">
      <c r="C68" s="335"/>
      <c r="D68" s="336"/>
      <c r="E68" s="337"/>
      <c r="F68" s="337"/>
      <c r="G68" s="338"/>
      <c r="H68" s="337"/>
      <c r="I68" s="337"/>
      <c r="J68" s="155"/>
      <c r="K68" s="155"/>
    </row>
    <row r="69" spans="3:11" ht="15.75" thickBot="1" x14ac:dyDescent="0.3">
      <c r="C69" s="29" t="s">
        <v>43</v>
      </c>
      <c r="D69" s="30">
        <f>SUM(F76:F85)</f>
        <v>0</v>
      </c>
      <c r="E69" s="177"/>
      <c r="F69" s="177"/>
      <c r="G69" s="79"/>
      <c r="H69" s="177"/>
      <c r="I69" s="177"/>
    </row>
    <row r="70" spans="3:11" x14ac:dyDescent="0.25">
      <c r="C70" s="70"/>
      <c r="D70" s="31"/>
      <c r="E70" s="93"/>
      <c r="F70" s="93"/>
      <c r="G70" s="93"/>
      <c r="H70" s="76"/>
      <c r="I70" s="76"/>
      <c r="J70" s="76"/>
      <c r="K70" s="112"/>
    </row>
    <row r="71" spans="3:11" x14ac:dyDescent="0.25">
      <c r="C71" s="70"/>
      <c r="D71" s="31"/>
      <c r="E71" s="93"/>
      <c r="F71" s="93"/>
      <c r="G71" s="93"/>
      <c r="H71" s="76"/>
      <c r="I71" s="76"/>
      <c r="J71" s="76"/>
      <c r="K71" s="112"/>
    </row>
    <row r="72" spans="3:11" ht="15.75" x14ac:dyDescent="0.25">
      <c r="C72" s="202" t="s">
        <v>390</v>
      </c>
      <c r="D72" s="368"/>
      <c r="E72" s="93"/>
      <c r="F72" s="93"/>
      <c r="G72" s="93"/>
      <c r="H72" s="76"/>
      <c r="I72" s="76"/>
      <c r="J72" s="76"/>
      <c r="K72" s="112"/>
    </row>
    <row r="73" spans="3:11" ht="18.75" x14ac:dyDescent="0.25">
      <c r="C73" s="210" t="e">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Graduados'!$F:$G,2,FALSE),IFERROR(VLOOKUP(D72,'11. Gestion Administrativa'!$F:$G,2,FALSE),IFERROR(VLOOKUP(D72,'13. Gestión Académica'!$F:$G,2,FALSE),IFERROR(VLOOKUP(D72,'9. Asegura. de la Calid. y M'!$F:$G,2,FALSE),IFERROR(VLOOKUP(D72,'6. Gestión del Conocimiento'!$F:$G,2,FALSE),IFERROR(VLOOKUP(D72,'15. Gobernabilidad y Proceso...'!$G:$H,2,FALSE),IFERROR(VLOOKUP(D72,'12. Gestión del Talento Humano'!$F:$G,2,FALSE),IFERROR(VLOOKUP(D72,'14. Internacional... de la E.S.'!$F:$G,2,FALSE),IFERROR(VLOOKUP(D72,'10. Posgrado'!$F:$G,2,FALSE),IFERROR(VLOOKUP(D72,'17. Gestión TIC'!$F:$G,2,FALSE),IFERROR(VLOOKUP(D72,'16. Desa. del Sistema Educ.Sup.'!$F:$G,2,FALSE),IFERROR(VLOOKUP(D72,'8. Cultura de Inno. Insti...'!$F:$G,2,FALSE),VLOOKUP(D72,'7. Lo Esencial de la Reforma U.'!$G:$H,2,0)))))))))))))))))</f>
        <v>#N/A</v>
      </c>
      <c r="D73" s="31"/>
      <c r="E73" s="93"/>
      <c r="F73" s="93"/>
      <c r="G73" s="93"/>
      <c r="H73" s="76"/>
      <c r="I73" s="76"/>
      <c r="J73" s="76"/>
      <c r="K73" s="112"/>
    </row>
    <row r="74" spans="3:11" ht="15.75" thickBot="1" x14ac:dyDescent="0.3">
      <c r="C74" s="70"/>
      <c r="D74" s="31"/>
      <c r="E74" s="93"/>
      <c r="F74" s="93"/>
      <c r="G74" s="93"/>
      <c r="H74" s="76"/>
      <c r="I74" s="76"/>
      <c r="J74" s="76"/>
      <c r="K74" s="112"/>
    </row>
    <row r="75" spans="3:11" ht="15.75" thickBot="1" x14ac:dyDescent="0.3">
      <c r="C75" s="126" t="s">
        <v>44</v>
      </c>
      <c r="D75" s="128" t="s">
        <v>55</v>
      </c>
      <c r="E75" s="128" t="s">
        <v>57</v>
      </c>
      <c r="F75" s="127" t="s">
        <v>27</v>
      </c>
      <c r="G75" s="133" t="s">
        <v>129</v>
      </c>
      <c r="H75" s="128" t="s">
        <v>46</v>
      </c>
      <c r="I75" s="128" t="s">
        <v>130</v>
      </c>
      <c r="J75" s="128" t="s">
        <v>408</v>
      </c>
      <c r="K75" s="128" t="s">
        <v>409</v>
      </c>
    </row>
    <row r="76" spans="3:11" x14ac:dyDescent="0.25">
      <c r="C76" s="95" t="s">
        <v>63</v>
      </c>
      <c r="D76" s="158"/>
      <c r="E76" s="96">
        <v>2800</v>
      </c>
      <c r="F76" s="97">
        <f>D76*E76</f>
        <v>0</v>
      </c>
      <c r="G76" s="161"/>
      <c r="H76" s="98" t="s">
        <v>983</v>
      </c>
      <c r="I76" s="98" t="str">
        <f>VLOOKUP(H76,Presupuesto!$B$11:$C$565,2,0)</f>
        <v>MUEBLES VARIOS DE OFICINA</v>
      </c>
      <c r="J76" s="218" t="s">
        <v>1443</v>
      </c>
      <c r="K76" s="98" t="s">
        <v>402</v>
      </c>
    </row>
    <row r="77" spans="3:11" x14ac:dyDescent="0.25">
      <c r="C77" s="99" t="s">
        <v>64</v>
      </c>
      <c r="D77" s="151"/>
      <c r="E77" s="100">
        <v>2400</v>
      </c>
      <c r="F77" s="97">
        <f>D77*E77</f>
        <v>0</v>
      </c>
      <c r="G77" s="161"/>
      <c r="H77" s="101" t="s">
        <v>983</v>
      </c>
      <c r="I77" s="98" t="str">
        <f>VLOOKUP(H77,Presupuesto!$B$11:$C$565,2,0)</f>
        <v>MUEBLES VARIOS DE OFICINA</v>
      </c>
      <c r="J77" s="98" t="str">
        <f>$J$76</f>
        <v>Posgrado</v>
      </c>
      <c r="K77" s="98" t="s">
        <v>410</v>
      </c>
    </row>
    <row r="78" spans="3:11" x14ac:dyDescent="0.25">
      <c r="C78" s="99" t="s">
        <v>65</v>
      </c>
      <c r="D78" s="151"/>
      <c r="E78" s="100">
        <v>1000</v>
      </c>
      <c r="F78" s="97">
        <f t="shared" ref="F78:F85" si="6">D78*E78</f>
        <v>0</v>
      </c>
      <c r="G78" s="161"/>
      <c r="H78" s="101" t="s">
        <v>983</v>
      </c>
      <c r="I78" s="98" t="str">
        <f>VLOOKUP(H78,Presupuesto!$B$11:$C$565,2,0)</f>
        <v>MUEBLES VARIOS DE OFICINA</v>
      </c>
      <c r="J78" s="98" t="str">
        <f t="shared" ref="J78:J85" si="7">$J$76</f>
        <v>Posgrado</v>
      </c>
      <c r="K78" s="98" t="s">
        <v>393</v>
      </c>
    </row>
    <row r="79" spans="3:11" x14ac:dyDescent="0.25">
      <c r="C79" s="99" t="s">
        <v>66</v>
      </c>
      <c r="D79" s="151"/>
      <c r="E79" s="100">
        <v>6000</v>
      </c>
      <c r="F79" s="97">
        <f t="shared" si="6"/>
        <v>0</v>
      </c>
      <c r="G79" s="161"/>
      <c r="H79" s="101" t="s">
        <v>983</v>
      </c>
      <c r="I79" s="98" t="str">
        <f>VLOOKUP(H79,Presupuesto!$B$11:$C$565,2,0)</f>
        <v>MUEBLES VARIOS DE OFICINA</v>
      </c>
      <c r="J79" s="98" t="str">
        <f t="shared" si="7"/>
        <v>Posgrado</v>
      </c>
      <c r="K79" s="98" t="s">
        <v>393</v>
      </c>
    </row>
    <row r="80" spans="3:11" x14ac:dyDescent="0.25">
      <c r="C80" s="99" t="s">
        <v>67</v>
      </c>
      <c r="D80" s="151"/>
      <c r="E80" s="100">
        <v>3000</v>
      </c>
      <c r="F80" s="97">
        <f t="shared" si="6"/>
        <v>0</v>
      </c>
      <c r="G80" s="161"/>
      <c r="H80" s="101" t="s">
        <v>983</v>
      </c>
      <c r="I80" s="98" t="str">
        <f>VLOOKUP(H80,Presupuesto!$B$11:$C$565,2,0)</f>
        <v>MUEBLES VARIOS DE OFICINA</v>
      </c>
      <c r="J80" s="98" t="str">
        <f t="shared" si="7"/>
        <v>Posgrado</v>
      </c>
      <c r="K80" s="98" t="s">
        <v>393</v>
      </c>
    </row>
    <row r="81" spans="3:11" x14ac:dyDescent="0.25">
      <c r="C81" s="99" t="s">
        <v>68</v>
      </c>
      <c r="D81" s="151"/>
      <c r="E81" s="100">
        <v>10000</v>
      </c>
      <c r="F81" s="97">
        <f t="shared" si="6"/>
        <v>0</v>
      </c>
      <c r="G81" s="161"/>
      <c r="H81" s="101" t="s">
        <v>983</v>
      </c>
      <c r="I81" s="98" t="str">
        <f>VLOOKUP(H81,Presupuesto!$B$11:$C$565,2,0)</f>
        <v>MUEBLES VARIOS DE OFICINA</v>
      </c>
      <c r="J81" s="98" t="str">
        <f t="shared" si="7"/>
        <v>Posgrado</v>
      </c>
      <c r="K81" s="98" t="s">
        <v>393</v>
      </c>
    </row>
    <row r="82" spans="3:11" x14ac:dyDescent="0.25">
      <c r="C82" s="99" t="s">
        <v>69</v>
      </c>
      <c r="D82" s="151"/>
      <c r="E82" s="100">
        <v>8000</v>
      </c>
      <c r="F82" s="97">
        <f t="shared" si="6"/>
        <v>0</v>
      </c>
      <c r="G82" s="161"/>
      <c r="H82" s="101" t="s">
        <v>986</v>
      </c>
      <c r="I82" s="98" t="str">
        <f>VLOOKUP(H82,Presupuesto!$B$11:$C$565,2,0)</f>
        <v>EQUIPOS VARIOS DE OFICINA</v>
      </c>
      <c r="J82" s="98" t="str">
        <f t="shared" si="7"/>
        <v>Posgrado</v>
      </c>
      <c r="K82" s="98" t="s">
        <v>393</v>
      </c>
    </row>
    <row r="83" spans="3:11" x14ac:dyDescent="0.25">
      <c r="C83" s="99" t="s">
        <v>70</v>
      </c>
      <c r="D83" s="151"/>
      <c r="E83" s="100">
        <v>2000</v>
      </c>
      <c r="F83" s="97">
        <f t="shared" si="6"/>
        <v>0</v>
      </c>
      <c r="G83" s="161"/>
      <c r="H83" s="101" t="s">
        <v>986</v>
      </c>
      <c r="I83" s="98" t="str">
        <f>VLOOKUP(H83,Presupuesto!$B$11:$C$565,2,0)</f>
        <v>EQUIPOS VARIOS DE OFICINA</v>
      </c>
      <c r="J83" s="98" t="str">
        <f t="shared" si="7"/>
        <v>Posgrado</v>
      </c>
      <c r="K83" s="98" t="s">
        <v>401</v>
      </c>
    </row>
    <row r="84" spans="3:11" x14ac:dyDescent="0.25">
      <c r="C84" s="99" t="s">
        <v>71</v>
      </c>
      <c r="D84" s="151"/>
      <c r="E84" s="100">
        <v>5000</v>
      </c>
      <c r="F84" s="97">
        <f t="shared" si="6"/>
        <v>0</v>
      </c>
      <c r="G84" s="161"/>
      <c r="H84" s="101" t="s">
        <v>986</v>
      </c>
      <c r="I84" s="98" t="str">
        <f>VLOOKUP(H84,Presupuesto!$B$11:$C$565,2,0)</f>
        <v>EQUIPOS VARIOS DE OFICINA</v>
      </c>
      <c r="J84" s="98" t="str">
        <f t="shared" si="7"/>
        <v>Posgrado</v>
      </c>
      <c r="K84" s="98" t="s">
        <v>397</v>
      </c>
    </row>
    <row r="85" spans="3:11" ht="15.75" thickBot="1" x14ac:dyDescent="0.3">
      <c r="C85" s="102" t="s">
        <v>72</v>
      </c>
      <c r="D85" s="159"/>
      <c r="E85" s="104">
        <v>100000</v>
      </c>
      <c r="F85" s="105">
        <f t="shared" si="6"/>
        <v>0</v>
      </c>
      <c r="G85" s="162"/>
      <c r="H85" s="106" t="s">
        <v>986</v>
      </c>
      <c r="I85" s="106" t="str">
        <f>VLOOKUP(H85,Presupuesto!$B$11:$C$565,2,0)</f>
        <v>EQUIPOS VARIOS DE OFICINA</v>
      </c>
      <c r="J85" s="106" t="str">
        <f t="shared" si="7"/>
        <v>Posgrado</v>
      </c>
      <c r="K85" s="124" t="s">
        <v>392</v>
      </c>
    </row>
    <row r="87" spans="3:11" ht="15.75" thickBot="1" x14ac:dyDescent="0.3"/>
    <row r="88" spans="3:11" ht="15.75" thickBot="1" x14ac:dyDescent="0.3">
      <c r="C88" s="29" t="s">
        <v>43</v>
      </c>
      <c r="D88" s="30">
        <f>SUM(F95:F104)</f>
        <v>0</v>
      </c>
      <c r="E88" s="177"/>
      <c r="F88" s="177"/>
      <c r="G88" s="79"/>
      <c r="H88" s="177"/>
      <c r="I88" s="177"/>
    </row>
    <row r="89" spans="3:11" x14ac:dyDescent="0.25">
      <c r="C89" s="70"/>
      <c r="D89" s="31"/>
      <c r="E89" s="93"/>
      <c r="F89" s="93"/>
      <c r="G89" s="93"/>
      <c r="H89" s="76"/>
      <c r="I89" s="76"/>
      <c r="J89" s="76"/>
      <c r="K89" s="112"/>
    </row>
    <row r="90" spans="3:11" x14ac:dyDescent="0.25">
      <c r="C90" s="70"/>
      <c r="D90" s="31"/>
      <c r="E90" s="93"/>
      <c r="F90" s="93"/>
      <c r="G90" s="93"/>
      <c r="H90" s="76"/>
      <c r="I90" s="76"/>
      <c r="J90" s="76"/>
      <c r="K90" s="112"/>
    </row>
    <row r="91" spans="3:11" ht="15.75" x14ac:dyDescent="0.25">
      <c r="C91" s="202" t="s">
        <v>390</v>
      </c>
      <c r="D91" s="368"/>
      <c r="E91" s="93"/>
      <c r="F91" s="93"/>
      <c r="G91" s="93"/>
      <c r="H91" s="76"/>
      <c r="I91" s="76"/>
      <c r="J91" s="76"/>
      <c r="K91" s="112"/>
    </row>
    <row r="92" spans="3:11" ht="18.75" x14ac:dyDescent="0.25">
      <c r="C92" s="210" t="e">
        <f>IFERROR(VLOOKUP(D91,'1. Desarrollo e Innov. Curricu.'!$F:$G,2,FALSE),IFERROR(VLOOKUP(D91,'2. Investigación Científica'!$F:$G,2,FALSE),IFERROR(VLOOKUP(D91,'3. Vinculación Univ. Sociedad'!$F:$G,2,FALSE),IFERROR(VLOOKUP(D91,'4. Docencia y Profesorado Univ.'!$F:$G,2,FALSE),IFERROR(VLOOKUP(D91,'5. Estudiantes y Graduados'!$F:$G,2,FALSE),IFERROR(VLOOKUP(D91,'11. Gestion Administrativa'!$F:$G,2,FALSE),IFERROR(VLOOKUP(D91,'13. Gestión Académica'!$F:$G,2,FALSE),IFERROR(VLOOKUP(D91,'9. Asegura. de la Calid. y M'!$F:$G,2,FALSE),IFERROR(VLOOKUP(D91,'6. Gestión del Conocimiento'!$F:$G,2,FALSE),IFERROR(VLOOKUP(D91,'15. Gobernabilidad y Proceso...'!$G:$H,2,FALSE),IFERROR(VLOOKUP(D91,'12. Gestión del Talento Humano'!$F:$G,2,FALSE),IFERROR(VLOOKUP(D91,'14. Internacional... de la E.S.'!$F:$G,2,FALSE),IFERROR(VLOOKUP(D91,'10. Posgrado'!$F:$G,2,FALSE),IFERROR(VLOOKUP(D91,'17. Gestión TIC'!$F:$G,2,FALSE),IFERROR(VLOOKUP(D91,'16. Desa. del Sistema Educ.Sup.'!$F:$G,2,FALSE),IFERROR(VLOOKUP(D91,'8. Cultura de Inno. Insti...'!$F:$G,2,FALSE),VLOOKUP(D91,'7. Lo Esencial de la Reforma U.'!$G:$H,2,0)))))))))))))))))</f>
        <v>#N/A</v>
      </c>
      <c r="D92" s="31"/>
      <c r="E92" s="93"/>
      <c r="F92" s="93"/>
      <c r="G92" s="93"/>
      <c r="H92" s="76"/>
      <c r="I92" s="76"/>
      <c r="J92" s="76"/>
      <c r="K92" s="112"/>
    </row>
    <row r="93" spans="3:11" ht="15.75" thickBot="1" x14ac:dyDescent="0.3">
      <c r="C93" s="70"/>
      <c r="D93" s="31"/>
      <c r="E93" s="93"/>
      <c r="F93" s="93"/>
      <c r="G93" s="93"/>
      <c r="H93" s="76"/>
      <c r="I93" s="76"/>
      <c r="J93" s="76"/>
      <c r="K93" s="112"/>
    </row>
    <row r="94" spans="3:11" ht="15.75" thickBot="1" x14ac:dyDescent="0.3">
      <c r="C94" s="126" t="s">
        <v>44</v>
      </c>
      <c r="D94" s="128" t="s">
        <v>55</v>
      </c>
      <c r="E94" s="128" t="s">
        <v>57</v>
      </c>
      <c r="F94" s="127" t="s">
        <v>27</v>
      </c>
      <c r="G94" s="133" t="s">
        <v>129</v>
      </c>
      <c r="H94" s="128" t="s">
        <v>46</v>
      </c>
      <c r="I94" s="128" t="s">
        <v>130</v>
      </c>
      <c r="J94" s="128" t="s">
        <v>408</v>
      </c>
      <c r="K94" s="128" t="s">
        <v>409</v>
      </c>
    </row>
    <row r="95" spans="3:11" x14ac:dyDescent="0.25">
      <c r="C95" s="95" t="s">
        <v>63</v>
      </c>
      <c r="D95" s="158"/>
      <c r="E95" s="96">
        <v>2800</v>
      </c>
      <c r="F95" s="97">
        <f>D95*E95</f>
        <v>0</v>
      </c>
      <c r="G95" s="161"/>
      <c r="H95" s="98" t="s">
        <v>983</v>
      </c>
      <c r="I95" s="98" t="str">
        <f>VLOOKUP(H95,Presupuesto!$B$11:$C$565,2,0)</f>
        <v>MUEBLES VARIOS DE OFICINA</v>
      </c>
      <c r="J95" s="218" t="s">
        <v>1443</v>
      </c>
      <c r="K95" s="98" t="s">
        <v>402</v>
      </c>
    </row>
    <row r="96" spans="3:11" x14ac:dyDescent="0.25">
      <c r="C96" s="99" t="s">
        <v>64</v>
      </c>
      <c r="D96" s="151"/>
      <c r="E96" s="100">
        <v>2400</v>
      </c>
      <c r="F96" s="97">
        <f>D96*E96</f>
        <v>0</v>
      </c>
      <c r="G96" s="161"/>
      <c r="H96" s="101" t="s">
        <v>983</v>
      </c>
      <c r="I96" s="98" t="str">
        <f>VLOOKUP(H96,Presupuesto!$B$11:$C$565,2,0)</f>
        <v>MUEBLES VARIOS DE OFICINA</v>
      </c>
      <c r="J96" s="98" t="str">
        <f>$J$95</f>
        <v>Posgrado</v>
      </c>
      <c r="K96" s="98" t="s">
        <v>410</v>
      </c>
    </row>
    <row r="97" spans="3:11" x14ac:dyDescent="0.25">
      <c r="C97" s="99" t="s">
        <v>65</v>
      </c>
      <c r="D97" s="151"/>
      <c r="E97" s="100">
        <v>1000</v>
      </c>
      <c r="F97" s="97">
        <f t="shared" ref="F97:F104" si="8">D97*E97</f>
        <v>0</v>
      </c>
      <c r="G97" s="161"/>
      <c r="H97" s="101" t="s">
        <v>983</v>
      </c>
      <c r="I97" s="98" t="str">
        <f>VLOOKUP(H97,Presupuesto!$B$11:$C$565,2,0)</f>
        <v>MUEBLES VARIOS DE OFICINA</v>
      </c>
      <c r="J97" s="98" t="str">
        <f t="shared" ref="J97:J104" si="9">$J$95</f>
        <v>Posgrado</v>
      </c>
      <c r="K97" s="98" t="s">
        <v>393</v>
      </c>
    </row>
    <row r="98" spans="3:11" x14ac:dyDescent="0.25">
      <c r="C98" s="99" t="s">
        <v>66</v>
      </c>
      <c r="D98" s="151"/>
      <c r="E98" s="100">
        <v>6000</v>
      </c>
      <c r="F98" s="97">
        <f t="shared" si="8"/>
        <v>0</v>
      </c>
      <c r="G98" s="161"/>
      <c r="H98" s="101" t="s">
        <v>983</v>
      </c>
      <c r="I98" s="98" t="str">
        <f>VLOOKUP(H98,Presupuesto!$B$11:$C$565,2,0)</f>
        <v>MUEBLES VARIOS DE OFICINA</v>
      </c>
      <c r="J98" s="98" t="str">
        <f t="shared" si="9"/>
        <v>Posgrado</v>
      </c>
      <c r="K98" s="98" t="s">
        <v>393</v>
      </c>
    </row>
    <row r="99" spans="3:11" x14ac:dyDescent="0.25">
      <c r="C99" s="99" t="s">
        <v>67</v>
      </c>
      <c r="D99" s="151"/>
      <c r="E99" s="100">
        <v>3000</v>
      </c>
      <c r="F99" s="97">
        <f t="shared" si="8"/>
        <v>0</v>
      </c>
      <c r="G99" s="161"/>
      <c r="H99" s="101" t="s">
        <v>983</v>
      </c>
      <c r="I99" s="98" t="str">
        <f>VLOOKUP(H99,Presupuesto!$B$11:$C$565,2,0)</f>
        <v>MUEBLES VARIOS DE OFICINA</v>
      </c>
      <c r="J99" s="98" t="str">
        <f t="shared" si="9"/>
        <v>Posgrado</v>
      </c>
      <c r="K99" s="98" t="s">
        <v>393</v>
      </c>
    </row>
    <row r="100" spans="3:11" x14ac:dyDescent="0.25">
      <c r="C100" s="99" t="s">
        <v>68</v>
      </c>
      <c r="D100" s="151"/>
      <c r="E100" s="100">
        <v>10000</v>
      </c>
      <c r="F100" s="97">
        <f t="shared" si="8"/>
        <v>0</v>
      </c>
      <c r="G100" s="161"/>
      <c r="H100" s="101" t="s">
        <v>983</v>
      </c>
      <c r="I100" s="98" t="str">
        <f>VLOOKUP(H100,Presupuesto!$B$11:$C$565,2,0)</f>
        <v>MUEBLES VARIOS DE OFICINA</v>
      </c>
      <c r="J100" s="98" t="str">
        <f t="shared" si="9"/>
        <v>Posgrado</v>
      </c>
      <c r="K100" s="98" t="s">
        <v>393</v>
      </c>
    </row>
    <row r="101" spans="3:11" x14ac:dyDescent="0.25">
      <c r="C101" s="99" t="s">
        <v>69</v>
      </c>
      <c r="D101" s="151"/>
      <c r="E101" s="100">
        <v>8000</v>
      </c>
      <c r="F101" s="97">
        <f t="shared" si="8"/>
        <v>0</v>
      </c>
      <c r="G101" s="161"/>
      <c r="H101" s="101" t="s">
        <v>986</v>
      </c>
      <c r="I101" s="98" t="str">
        <f>VLOOKUP(H101,Presupuesto!$B$11:$C$565,2,0)</f>
        <v>EQUIPOS VARIOS DE OFICINA</v>
      </c>
      <c r="J101" s="98" t="str">
        <f t="shared" si="9"/>
        <v>Posgrado</v>
      </c>
      <c r="K101" s="98" t="s">
        <v>393</v>
      </c>
    </row>
    <row r="102" spans="3:11" x14ac:dyDescent="0.25">
      <c r="C102" s="99" t="s">
        <v>70</v>
      </c>
      <c r="D102" s="151"/>
      <c r="E102" s="100">
        <v>2000</v>
      </c>
      <c r="F102" s="97">
        <f t="shared" si="8"/>
        <v>0</v>
      </c>
      <c r="G102" s="161"/>
      <c r="H102" s="101" t="s">
        <v>986</v>
      </c>
      <c r="I102" s="98" t="str">
        <f>VLOOKUP(H102,Presupuesto!$B$11:$C$565,2,0)</f>
        <v>EQUIPOS VARIOS DE OFICINA</v>
      </c>
      <c r="J102" s="98" t="str">
        <f t="shared" si="9"/>
        <v>Posgrado</v>
      </c>
      <c r="K102" s="98" t="s">
        <v>401</v>
      </c>
    </row>
    <row r="103" spans="3:11" x14ac:dyDescent="0.25">
      <c r="C103" s="99" t="s">
        <v>71</v>
      </c>
      <c r="D103" s="151"/>
      <c r="E103" s="100">
        <v>5000</v>
      </c>
      <c r="F103" s="97">
        <f t="shared" si="8"/>
        <v>0</v>
      </c>
      <c r="G103" s="161"/>
      <c r="H103" s="101" t="s">
        <v>986</v>
      </c>
      <c r="I103" s="98" t="str">
        <f>VLOOKUP(H103,Presupuesto!$B$11:$C$565,2,0)</f>
        <v>EQUIPOS VARIOS DE OFICINA</v>
      </c>
      <c r="J103" s="98" t="str">
        <f t="shared" si="9"/>
        <v>Posgrado</v>
      </c>
      <c r="K103" s="98" t="s">
        <v>397</v>
      </c>
    </row>
    <row r="104" spans="3:11" ht="15.75" thickBot="1" x14ac:dyDescent="0.3">
      <c r="C104" s="102" t="s">
        <v>72</v>
      </c>
      <c r="D104" s="159"/>
      <c r="E104" s="104">
        <v>100000</v>
      </c>
      <c r="F104" s="105">
        <f t="shared" si="8"/>
        <v>0</v>
      </c>
      <c r="G104" s="162"/>
      <c r="H104" s="106" t="s">
        <v>986</v>
      </c>
      <c r="I104" s="106" t="str">
        <f>VLOOKUP(H104,Presupuesto!$B$11:$C$565,2,0)</f>
        <v>EQUIPOS VARIOS DE OFICINA</v>
      </c>
      <c r="J104" s="106" t="str">
        <f t="shared" si="9"/>
        <v>Posgrado</v>
      </c>
      <c r="K104" s="124" t="s">
        <v>392</v>
      </c>
    </row>
    <row r="106" spans="3:11" ht="15.75" thickBot="1" x14ac:dyDescent="0.3">
      <c r="C106" s="335"/>
      <c r="D106" s="336"/>
      <c r="E106" s="337"/>
      <c r="F106" s="337"/>
      <c r="G106" s="338"/>
      <c r="H106" s="337"/>
      <c r="I106" s="337"/>
      <c r="J106" s="155"/>
      <c r="K106" s="155"/>
    </row>
    <row r="107" spans="3:11" ht="15.75" thickBot="1" x14ac:dyDescent="0.3">
      <c r="C107" s="29" t="s">
        <v>43</v>
      </c>
      <c r="D107" s="30">
        <f>SUM(F114:F123)</f>
        <v>0</v>
      </c>
      <c r="E107" s="177"/>
      <c r="F107" s="177"/>
      <c r="G107" s="79"/>
      <c r="H107" s="177"/>
      <c r="I107" s="177"/>
    </row>
    <row r="108" spans="3:11" x14ac:dyDescent="0.25">
      <c r="C108" s="70"/>
      <c r="D108" s="31"/>
      <c r="E108" s="93"/>
      <c r="F108" s="93"/>
      <c r="G108" s="93"/>
      <c r="H108" s="76"/>
      <c r="I108" s="76"/>
      <c r="J108" s="76"/>
      <c r="K108" s="112"/>
    </row>
    <row r="109" spans="3:11" x14ac:dyDescent="0.25">
      <c r="C109" s="70"/>
      <c r="D109" s="31"/>
      <c r="E109" s="93"/>
      <c r="F109" s="93"/>
      <c r="G109" s="93"/>
      <c r="H109" s="76"/>
      <c r="I109" s="76"/>
      <c r="J109" s="76"/>
      <c r="K109" s="112"/>
    </row>
    <row r="110" spans="3:11" ht="15.75" x14ac:dyDescent="0.25">
      <c r="C110" s="202" t="s">
        <v>390</v>
      </c>
      <c r="D110" s="368"/>
      <c r="E110" s="93"/>
      <c r="F110" s="93"/>
      <c r="G110" s="93"/>
      <c r="H110" s="76"/>
      <c r="I110" s="76"/>
      <c r="J110" s="76"/>
      <c r="K110" s="112"/>
    </row>
    <row r="111" spans="3:11" ht="18.75" x14ac:dyDescent="0.25">
      <c r="C111" s="210" t="e">
        <f>IFERROR(VLOOKUP(D110,'1. Desarrollo e Innov. Curricu.'!$F:$G,2,FALSE),IFERROR(VLOOKUP(D110,'2. Investigación Científica'!$F:$G,2,FALSE),IFERROR(VLOOKUP(D110,'3. Vinculación Univ. Sociedad'!$F:$G,2,FALSE),IFERROR(VLOOKUP(D110,'4. Docencia y Profesorado Univ.'!$F:$G,2,FALSE),IFERROR(VLOOKUP(D110,'5. Estudiantes y Graduados'!$F:$G,2,FALSE),IFERROR(VLOOKUP(D110,'11. Gestion Administrativa'!$F:$G,2,FALSE),IFERROR(VLOOKUP(D110,'13. Gestión Académica'!$F:$G,2,FALSE),IFERROR(VLOOKUP(D110,'9. Asegura. de la Calid. y M'!$F:$G,2,FALSE),IFERROR(VLOOKUP(D110,'6. Gestión del Conocimiento'!$F:$G,2,FALSE),IFERROR(VLOOKUP(D110,'15. Gobernabilidad y Proceso...'!$G:$H,2,FALSE),IFERROR(VLOOKUP(D110,'12. Gestión del Talento Humano'!$F:$G,2,FALSE),IFERROR(VLOOKUP(D110,'14. Internacional... de la E.S.'!$F:$G,2,FALSE),IFERROR(VLOOKUP(D110,'10. Posgrado'!$F:$G,2,FALSE),IFERROR(VLOOKUP(D110,'17. Gestión TIC'!$F:$G,2,FALSE),IFERROR(VLOOKUP(D110,'16. Desa. del Sistema Educ.Sup.'!$F:$G,2,FALSE),IFERROR(VLOOKUP(D110,'8. Cultura de Inno. Insti...'!$F:$G,2,FALSE),VLOOKUP(D110,'7. Lo Esencial de la Reforma U.'!$G:$H,2,0)))))))))))))))))</f>
        <v>#N/A</v>
      </c>
      <c r="D111" s="31"/>
      <c r="E111" s="93"/>
      <c r="F111" s="93"/>
      <c r="G111" s="93"/>
      <c r="H111" s="76"/>
      <c r="I111" s="76"/>
      <c r="J111" s="76"/>
      <c r="K111" s="112"/>
    </row>
    <row r="112" spans="3:11" ht="15.75" thickBot="1" x14ac:dyDescent="0.3">
      <c r="C112" s="70"/>
      <c r="D112" s="31"/>
      <c r="E112" s="93"/>
      <c r="F112" s="93"/>
      <c r="G112" s="93"/>
      <c r="H112" s="76"/>
      <c r="I112" s="76"/>
      <c r="J112" s="76"/>
      <c r="K112" s="112"/>
    </row>
    <row r="113" spans="3:11" ht="15.75" thickBot="1" x14ac:dyDescent="0.3">
      <c r="C113" s="126" t="s">
        <v>44</v>
      </c>
      <c r="D113" s="128" t="s">
        <v>55</v>
      </c>
      <c r="E113" s="128" t="s">
        <v>57</v>
      </c>
      <c r="F113" s="127" t="s">
        <v>27</v>
      </c>
      <c r="G113" s="133" t="s">
        <v>129</v>
      </c>
      <c r="H113" s="128" t="s">
        <v>46</v>
      </c>
      <c r="I113" s="128" t="s">
        <v>130</v>
      </c>
      <c r="J113" s="128" t="s">
        <v>408</v>
      </c>
      <c r="K113" s="128" t="s">
        <v>409</v>
      </c>
    </row>
    <row r="114" spans="3:11" x14ac:dyDescent="0.25">
      <c r="C114" s="95" t="s">
        <v>63</v>
      </c>
      <c r="D114" s="158"/>
      <c r="E114" s="96">
        <v>2800</v>
      </c>
      <c r="F114" s="97">
        <f>D114*E114</f>
        <v>0</v>
      </c>
      <c r="G114" s="161"/>
      <c r="H114" s="98" t="s">
        <v>983</v>
      </c>
      <c r="I114" s="98" t="str">
        <f>VLOOKUP(H114,Presupuesto!$B$11:$C$565,2,0)</f>
        <v>MUEBLES VARIOS DE OFICINA</v>
      </c>
      <c r="J114" s="218" t="s">
        <v>1443</v>
      </c>
      <c r="K114" s="98" t="s">
        <v>402</v>
      </c>
    </row>
    <row r="115" spans="3:11" x14ac:dyDescent="0.25">
      <c r="C115" s="99" t="s">
        <v>64</v>
      </c>
      <c r="D115" s="151"/>
      <c r="E115" s="100">
        <v>2400</v>
      </c>
      <c r="F115" s="97">
        <f>D115*E115</f>
        <v>0</v>
      </c>
      <c r="G115" s="161"/>
      <c r="H115" s="101" t="s">
        <v>983</v>
      </c>
      <c r="I115" s="98" t="str">
        <f>VLOOKUP(H115,Presupuesto!$B$11:$C$565,2,0)</f>
        <v>MUEBLES VARIOS DE OFICINA</v>
      </c>
      <c r="J115" s="98" t="str">
        <f>$J$114</f>
        <v>Posgrado</v>
      </c>
      <c r="K115" s="98" t="s">
        <v>410</v>
      </c>
    </row>
    <row r="116" spans="3:11" x14ac:dyDescent="0.25">
      <c r="C116" s="99" t="s">
        <v>65</v>
      </c>
      <c r="D116" s="151"/>
      <c r="E116" s="100">
        <v>1000</v>
      </c>
      <c r="F116" s="97">
        <f t="shared" ref="F116:F123" si="10">D116*E116</f>
        <v>0</v>
      </c>
      <c r="G116" s="161"/>
      <c r="H116" s="101" t="s">
        <v>983</v>
      </c>
      <c r="I116" s="98" t="str">
        <f>VLOOKUP(H116,Presupuesto!$B$11:$C$565,2,0)</f>
        <v>MUEBLES VARIOS DE OFICINA</v>
      </c>
      <c r="J116" s="98" t="str">
        <f t="shared" ref="J116:J123" si="11">$J$114</f>
        <v>Posgrado</v>
      </c>
      <c r="K116" s="98" t="s">
        <v>393</v>
      </c>
    </row>
    <row r="117" spans="3:11" x14ac:dyDescent="0.25">
      <c r="C117" s="99" t="s">
        <v>66</v>
      </c>
      <c r="D117" s="151"/>
      <c r="E117" s="100">
        <v>6000</v>
      </c>
      <c r="F117" s="97">
        <f t="shared" si="10"/>
        <v>0</v>
      </c>
      <c r="G117" s="161"/>
      <c r="H117" s="101" t="s">
        <v>983</v>
      </c>
      <c r="I117" s="98" t="str">
        <f>VLOOKUP(H117,Presupuesto!$B$11:$C$565,2,0)</f>
        <v>MUEBLES VARIOS DE OFICINA</v>
      </c>
      <c r="J117" s="98" t="str">
        <f t="shared" si="11"/>
        <v>Posgrado</v>
      </c>
      <c r="K117" s="98" t="s">
        <v>393</v>
      </c>
    </row>
    <row r="118" spans="3:11" x14ac:dyDescent="0.25">
      <c r="C118" s="99" t="s">
        <v>67</v>
      </c>
      <c r="D118" s="151"/>
      <c r="E118" s="100">
        <v>3000</v>
      </c>
      <c r="F118" s="97">
        <f t="shared" si="10"/>
        <v>0</v>
      </c>
      <c r="G118" s="161"/>
      <c r="H118" s="101" t="s">
        <v>983</v>
      </c>
      <c r="I118" s="98" t="str">
        <f>VLOOKUP(H118,Presupuesto!$B$11:$C$565,2,0)</f>
        <v>MUEBLES VARIOS DE OFICINA</v>
      </c>
      <c r="J118" s="98" t="str">
        <f t="shared" si="11"/>
        <v>Posgrado</v>
      </c>
      <c r="K118" s="98" t="s">
        <v>393</v>
      </c>
    </row>
    <row r="119" spans="3:11" x14ac:dyDescent="0.25">
      <c r="C119" s="99" t="s">
        <v>68</v>
      </c>
      <c r="D119" s="151"/>
      <c r="E119" s="100">
        <v>10000</v>
      </c>
      <c r="F119" s="97">
        <f t="shared" si="10"/>
        <v>0</v>
      </c>
      <c r="G119" s="161"/>
      <c r="H119" s="101" t="s">
        <v>983</v>
      </c>
      <c r="I119" s="98" t="str">
        <f>VLOOKUP(H119,Presupuesto!$B$11:$C$565,2,0)</f>
        <v>MUEBLES VARIOS DE OFICINA</v>
      </c>
      <c r="J119" s="98" t="str">
        <f t="shared" si="11"/>
        <v>Posgrado</v>
      </c>
      <c r="K119" s="98" t="s">
        <v>393</v>
      </c>
    </row>
    <row r="120" spans="3:11" x14ac:dyDescent="0.25">
      <c r="C120" s="99" t="s">
        <v>69</v>
      </c>
      <c r="D120" s="151"/>
      <c r="E120" s="100">
        <v>8000</v>
      </c>
      <c r="F120" s="97">
        <f t="shared" si="10"/>
        <v>0</v>
      </c>
      <c r="G120" s="161"/>
      <c r="H120" s="101" t="s">
        <v>986</v>
      </c>
      <c r="I120" s="98" t="str">
        <f>VLOOKUP(H120,Presupuesto!$B$11:$C$565,2,0)</f>
        <v>EQUIPOS VARIOS DE OFICINA</v>
      </c>
      <c r="J120" s="98" t="str">
        <f t="shared" si="11"/>
        <v>Posgrado</v>
      </c>
      <c r="K120" s="98" t="s">
        <v>393</v>
      </c>
    </row>
    <row r="121" spans="3:11" x14ac:dyDescent="0.25">
      <c r="C121" s="99" t="s">
        <v>70</v>
      </c>
      <c r="D121" s="151"/>
      <c r="E121" s="100">
        <v>2000</v>
      </c>
      <c r="F121" s="97">
        <f t="shared" si="10"/>
        <v>0</v>
      </c>
      <c r="G121" s="161"/>
      <c r="H121" s="101" t="s">
        <v>986</v>
      </c>
      <c r="I121" s="98" t="str">
        <f>VLOOKUP(H121,Presupuesto!$B$11:$C$565,2,0)</f>
        <v>EQUIPOS VARIOS DE OFICINA</v>
      </c>
      <c r="J121" s="98" t="str">
        <f t="shared" si="11"/>
        <v>Posgrado</v>
      </c>
      <c r="K121" s="98" t="s">
        <v>401</v>
      </c>
    </row>
    <row r="122" spans="3:11" x14ac:dyDescent="0.25">
      <c r="C122" s="99" t="s">
        <v>71</v>
      </c>
      <c r="D122" s="151"/>
      <c r="E122" s="100">
        <v>5000</v>
      </c>
      <c r="F122" s="97">
        <f t="shared" si="10"/>
        <v>0</v>
      </c>
      <c r="G122" s="161"/>
      <c r="H122" s="101" t="s">
        <v>986</v>
      </c>
      <c r="I122" s="98" t="str">
        <f>VLOOKUP(H122,Presupuesto!$B$11:$C$565,2,0)</f>
        <v>EQUIPOS VARIOS DE OFICINA</v>
      </c>
      <c r="J122" s="98" t="str">
        <f t="shared" si="11"/>
        <v>Posgrado</v>
      </c>
      <c r="K122" s="98" t="s">
        <v>397</v>
      </c>
    </row>
    <row r="123" spans="3:11" ht="15.75" thickBot="1" x14ac:dyDescent="0.3">
      <c r="C123" s="102" t="s">
        <v>72</v>
      </c>
      <c r="D123" s="159"/>
      <c r="E123" s="104">
        <v>100000</v>
      </c>
      <c r="F123" s="105">
        <f t="shared" si="10"/>
        <v>0</v>
      </c>
      <c r="G123" s="162"/>
      <c r="H123" s="106" t="s">
        <v>986</v>
      </c>
      <c r="I123" s="106" t="str">
        <f>VLOOKUP(H123,Presupuesto!$B$11:$C$565,2,0)</f>
        <v>EQUIPOS VARIOS DE OFICINA</v>
      </c>
      <c r="J123" s="106" t="str">
        <f t="shared" si="11"/>
        <v>Posgrado</v>
      </c>
      <c r="K123" s="124" t="s">
        <v>392</v>
      </c>
    </row>
    <row r="125" spans="3:11" ht="15.75" thickBot="1" x14ac:dyDescent="0.3"/>
    <row r="126" spans="3:11" ht="15.75" thickBot="1" x14ac:dyDescent="0.3">
      <c r="C126" s="29" t="s">
        <v>43</v>
      </c>
      <c r="D126" s="30">
        <f>SUM(F133:F142)</f>
        <v>0</v>
      </c>
      <c r="E126" s="177"/>
      <c r="F126" s="177"/>
      <c r="G126" s="79"/>
      <c r="H126" s="177"/>
      <c r="I126" s="177"/>
    </row>
    <row r="127" spans="3:11" x14ac:dyDescent="0.25">
      <c r="C127" s="70"/>
      <c r="D127" s="31"/>
      <c r="E127" s="93"/>
      <c r="F127" s="93"/>
      <c r="G127" s="93"/>
      <c r="H127" s="76"/>
      <c r="I127" s="76"/>
      <c r="J127" s="76"/>
      <c r="K127" s="112"/>
    </row>
    <row r="128" spans="3:11" x14ac:dyDescent="0.25">
      <c r="C128" s="70"/>
      <c r="D128" s="31"/>
      <c r="E128" s="93"/>
      <c r="F128" s="93"/>
      <c r="G128" s="93"/>
      <c r="H128" s="76"/>
      <c r="I128" s="76"/>
      <c r="J128" s="76"/>
      <c r="K128" s="112"/>
    </row>
    <row r="129" spans="3:11" ht="15.75" x14ac:dyDescent="0.25">
      <c r="C129" s="202" t="s">
        <v>390</v>
      </c>
      <c r="D129" s="368"/>
      <c r="E129" s="93"/>
      <c r="F129" s="93"/>
      <c r="G129" s="93"/>
      <c r="H129" s="76"/>
      <c r="I129" s="76"/>
      <c r="J129" s="76"/>
      <c r="K129" s="112"/>
    </row>
    <row r="130" spans="3:11" ht="18.75" x14ac:dyDescent="0.25">
      <c r="C130" s="210" t="e">
        <f>IFERROR(VLOOKUP(D129,'1. Desarrollo e Innov. Curricu.'!$F:$G,2,FALSE),IFERROR(VLOOKUP(D129,'2. Investigación Científica'!$F:$G,2,FALSE),IFERROR(VLOOKUP(D129,'3. Vinculación Univ. Sociedad'!$F:$G,2,FALSE),IFERROR(VLOOKUP(D129,'4. Docencia y Profesorado Univ.'!$F:$G,2,FALSE),IFERROR(VLOOKUP(D129,'5. Estudiantes y Graduados'!$F:$G,2,FALSE),IFERROR(VLOOKUP(D129,'11. Gestion Administrativa'!$F:$G,2,FALSE),IFERROR(VLOOKUP(D129,'13. Gestión Académica'!$F:$G,2,FALSE),IFERROR(VLOOKUP(D129,'9. Asegura. de la Calid. y M'!$F:$G,2,FALSE),IFERROR(VLOOKUP(D129,'6. Gestión del Conocimiento'!$F:$G,2,FALSE),IFERROR(VLOOKUP(D129,'15. Gobernabilidad y Proceso...'!$G:$H,2,FALSE),IFERROR(VLOOKUP(D129,'12. Gestión del Talento Humano'!$F:$G,2,FALSE),IFERROR(VLOOKUP(D129,'14. Internacional... de la E.S.'!$F:$G,2,FALSE),IFERROR(VLOOKUP(D129,'10. Posgrado'!$F:$G,2,FALSE),IFERROR(VLOOKUP(D129,'17. Gestión TIC'!$F:$G,2,FALSE),IFERROR(VLOOKUP(D129,'16. Desa. del Sistema Educ.Sup.'!$F:$G,2,FALSE),IFERROR(VLOOKUP(D129,'8. Cultura de Inno. Insti...'!$F:$G,2,FALSE),VLOOKUP(D129,'7. Lo Esencial de la Reforma U.'!$G:$H,2,0)))))))))))))))))</f>
        <v>#N/A</v>
      </c>
      <c r="D130" s="31"/>
      <c r="E130" s="93"/>
      <c r="F130" s="93"/>
      <c r="G130" s="93"/>
      <c r="H130" s="76"/>
      <c r="I130" s="76"/>
      <c r="J130" s="76"/>
      <c r="K130" s="112"/>
    </row>
    <row r="131" spans="3:11" ht="15.75" thickBot="1" x14ac:dyDescent="0.3">
      <c r="C131" s="70"/>
      <c r="D131" s="31"/>
      <c r="E131" s="93"/>
      <c r="F131" s="93"/>
      <c r="G131" s="93"/>
      <c r="H131" s="76"/>
      <c r="I131" s="76"/>
      <c r="J131" s="76"/>
      <c r="K131" s="112"/>
    </row>
    <row r="132" spans="3:11" ht="15.75" thickBot="1" x14ac:dyDescent="0.3">
      <c r="C132" s="126" t="s">
        <v>44</v>
      </c>
      <c r="D132" s="128" t="s">
        <v>55</v>
      </c>
      <c r="E132" s="128" t="s">
        <v>57</v>
      </c>
      <c r="F132" s="127" t="s">
        <v>27</v>
      </c>
      <c r="G132" s="133" t="s">
        <v>129</v>
      </c>
      <c r="H132" s="128" t="s">
        <v>46</v>
      </c>
      <c r="I132" s="128" t="s">
        <v>130</v>
      </c>
      <c r="J132" s="128" t="s">
        <v>408</v>
      </c>
      <c r="K132" s="128" t="s">
        <v>409</v>
      </c>
    </row>
    <row r="133" spans="3:11" x14ac:dyDescent="0.25">
      <c r="C133" s="95" t="s">
        <v>63</v>
      </c>
      <c r="D133" s="158"/>
      <c r="E133" s="96">
        <v>2800</v>
      </c>
      <c r="F133" s="97">
        <f>D133*E133</f>
        <v>0</v>
      </c>
      <c r="G133" s="161"/>
      <c r="H133" s="98" t="s">
        <v>983</v>
      </c>
      <c r="I133" s="98" t="str">
        <f>VLOOKUP(H133,Presupuesto!$B$11:$C$565,2,0)</f>
        <v>MUEBLES VARIOS DE OFICINA</v>
      </c>
      <c r="J133" s="218" t="s">
        <v>1443</v>
      </c>
      <c r="K133" s="98" t="s">
        <v>402</v>
      </c>
    </row>
    <row r="134" spans="3:11" x14ac:dyDescent="0.25">
      <c r="C134" s="99" t="s">
        <v>64</v>
      </c>
      <c r="D134" s="151"/>
      <c r="E134" s="100">
        <v>2400</v>
      </c>
      <c r="F134" s="97">
        <f>D134*E134</f>
        <v>0</v>
      </c>
      <c r="G134" s="161"/>
      <c r="H134" s="101" t="s">
        <v>983</v>
      </c>
      <c r="I134" s="98" t="str">
        <f>VLOOKUP(H134,Presupuesto!$B$11:$C$565,2,0)</f>
        <v>MUEBLES VARIOS DE OFICINA</v>
      </c>
      <c r="J134" s="98" t="str">
        <f>$J$133</f>
        <v>Posgrado</v>
      </c>
      <c r="K134" s="98" t="s">
        <v>410</v>
      </c>
    </row>
    <row r="135" spans="3:11" x14ac:dyDescent="0.25">
      <c r="C135" s="99" t="s">
        <v>65</v>
      </c>
      <c r="D135" s="151"/>
      <c r="E135" s="100">
        <v>1000</v>
      </c>
      <c r="F135" s="97">
        <f t="shared" ref="F135:F142" si="12">D135*E135</f>
        <v>0</v>
      </c>
      <c r="G135" s="161"/>
      <c r="H135" s="101" t="s">
        <v>983</v>
      </c>
      <c r="I135" s="98" t="str">
        <f>VLOOKUP(H135,Presupuesto!$B$11:$C$565,2,0)</f>
        <v>MUEBLES VARIOS DE OFICINA</v>
      </c>
      <c r="J135" s="98" t="str">
        <f t="shared" ref="J135:J142" si="13">$J$133</f>
        <v>Posgrado</v>
      </c>
      <c r="K135" s="98" t="s">
        <v>393</v>
      </c>
    </row>
    <row r="136" spans="3:11" x14ac:dyDescent="0.25">
      <c r="C136" s="99" t="s">
        <v>66</v>
      </c>
      <c r="D136" s="151"/>
      <c r="E136" s="100">
        <v>6000</v>
      </c>
      <c r="F136" s="97">
        <f t="shared" si="12"/>
        <v>0</v>
      </c>
      <c r="G136" s="161"/>
      <c r="H136" s="101" t="s">
        <v>983</v>
      </c>
      <c r="I136" s="98" t="str">
        <f>VLOOKUP(H136,Presupuesto!$B$11:$C$565,2,0)</f>
        <v>MUEBLES VARIOS DE OFICINA</v>
      </c>
      <c r="J136" s="98" t="str">
        <f t="shared" si="13"/>
        <v>Posgrado</v>
      </c>
      <c r="K136" s="98" t="s">
        <v>393</v>
      </c>
    </row>
    <row r="137" spans="3:11" x14ac:dyDescent="0.25">
      <c r="C137" s="99" t="s">
        <v>67</v>
      </c>
      <c r="D137" s="151"/>
      <c r="E137" s="100">
        <v>3000</v>
      </c>
      <c r="F137" s="97">
        <f t="shared" si="12"/>
        <v>0</v>
      </c>
      <c r="G137" s="161"/>
      <c r="H137" s="101" t="s">
        <v>983</v>
      </c>
      <c r="I137" s="98" t="str">
        <f>VLOOKUP(H137,Presupuesto!$B$11:$C$565,2,0)</f>
        <v>MUEBLES VARIOS DE OFICINA</v>
      </c>
      <c r="J137" s="98" t="str">
        <f t="shared" si="13"/>
        <v>Posgrado</v>
      </c>
      <c r="K137" s="98" t="s">
        <v>393</v>
      </c>
    </row>
    <row r="138" spans="3:11" x14ac:dyDescent="0.25">
      <c r="C138" s="99" t="s">
        <v>68</v>
      </c>
      <c r="D138" s="151"/>
      <c r="E138" s="100">
        <v>10000</v>
      </c>
      <c r="F138" s="97">
        <f t="shared" si="12"/>
        <v>0</v>
      </c>
      <c r="G138" s="161"/>
      <c r="H138" s="101" t="s">
        <v>983</v>
      </c>
      <c r="I138" s="98" t="str">
        <f>VLOOKUP(H138,Presupuesto!$B$11:$C$565,2,0)</f>
        <v>MUEBLES VARIOS DE OFICINA</v>
      </c>
      <c r="J138" s="98" t="str">
        <f t="shared" si="13"/>
        <v>Posgrado</v>
      </c>
      <c r="K138" s="98" t="s">
        <v>393</v>
      </c>
    </row>
    <row r="139" spans="3:11" x14ac:dyDescent="0.25">
      <c r="C139" s="99" t="s">
        <v>69</v>
      </c>
      <c r="D139" s="151"/>
      <c r="E139" s="100">
        <v>8000</v>
      </c>
      <c r="F139" s="97">
        <f t="shared" si="12"/>
        <v>0</v>
      </c>
      <c r="G139" s="161"/>
      <c r="H139" s="101" t="s">
        <v>986</v>
      </c>
      <c r="I139" s="98" t="str">
        <f>VLOOKUP(H139,Presupuesto!$B$11:$C$565,2,0)</f>
        <v>EQUIPOS VARIOS DE OFICINA</v>
      </c>
      <c r="J139" s="98" t="str">
        <f t="shared" si="13"/>
        <v>Posgrado</v>
      </c>
      <c r="K139" s="98" t="s">
        <v>393</v>
      </c>
    </row>
    <row r="140" spans="3:11" x14ac:dyDescent="0.25">
      <c r="C140" s="99" t="s">
        <v>70</v>
      </c>
      <c r="D140" s="151"/>
      <c r="E140" s="100">
        <v>2000</v>
      </c>
      <c r="F140" s="97">
        <f t="shared" si="12"/>
        <v>0</v>
      </c>
      <c r="G140" s="161"/>
      <c r="H140" s="101" t="s">
        <v>986</v>
      </c>
      <c r="I140" s="98" t="str">
        <f>VLOOKUP(H140,Presupuesto!$B$11:$C$565,2,0)</f>
        <v>EQUIPOS VARIOS DE OFICINA</v>
      </c>
      <c r="J140" s="98" t="str">
        <f t="shared" si="13"/>
        <v>Posgrado</v>
      </c>
      <c r="K140" s="98" t="s">
        <v>401</v>
      </c>
    </row>
    <row r="141" spans="3:11" x14ac:dyDescent="0.25">
      <c r="C141" s="99" t="s">
        <v>71</v>
      </c>
      <c r="D141" s="151"/>
      <c r="E141" s="100">
        <v>5000</v>
      </c>
      <c r="F141" s="97">
        <f t="shared" si="12"/>
        <v>0</v>
      </c>
      <c r="G141" s="161"/>
      <c r="H141" s="101" t="s">
        <v>986</v>
      </c>
      <c r="I141" s="98" t="str">
        <f>VLOOKUP(H141,Presupuesto!$B$11:$C$565,2,0)</f>
        <v>EQUIPOS VARIOS DE OFICINA</v>
      </c>
      <c r="J141" s="98" t="str">
        <f t="shared" si="13"/>
        <v>Posgrado</v>
      </c>
      <c r="K141" s="98" t="s">
        <v>397</v>
      </c>
    </row>
    <row r="142" spans="3:11" ht="15.75" thickBot="1" x14ac:dyDescent="0.3">
      <c r="C142" s="102" t="s">
        <v>72</v>
      </c>
      <c r="D142" s="159"/>
      <c r="E142" s="104">
        <v>100000</v>
      </c>
      <c r="F142" s="105">
        <f t="shared" si="12"/>
        <v>0</v>
      </c>
      <c r="G142" s="162"/>
      <c r="H142" s="106" t="s">
        <v>986</v>
      </c>
      <c r="I142" s="106" t="str">
        <f>VLOOKUP(H142,Presupuesto!$B$11:$C$565,2,0)</f>
        <v>EQUIPOS VARIOS DE OFICINA</v>
      </c>
      <c r="J142" s="106" t="str">
        <f t="shared" si="13"/>
        <v>Posgrado</v>
      </c>
      <c r="K142" s="124" t="s">
        <v>392</v>
      </c>
    </row>
    <row r="144" spans="3:11" ht="15.75" thickBot="1" x14ac:dyDescent="0.3">
      <c r="C144" s="335"/>
      <c r="D144" s="336"/>
      <c r="E144" s="337"/>
      <c r="F144" s="337"/>
      <c r="G144" s="338"/>
      <c r="H144" s="337"/>
      <c r="I144" s="337"/>
      <c r="J144" s="155"/>
      <c r="K144" s="155"/>
    </row>
    <row r="145" spans="3:11" ht="15.75" thickBot="1" x14ac:dyDescent="0.3">
      <c r="C145" s="29" t="s">
        <v>43</v>
      </c>
      <c r="D145" s="30">
        <f>SUM(F152:F161)</f>
        <v>0</v>
      </c>
      <c r="E145" s="177"/>
      <c r="F145" s="177"/>
      <c r="G145" s="79"/>
      <c r="H145" s="177"/>
      <c r="I145" s="177"/>
    </row>
    <row r="146" spans="3:11" x14ac:dyDescent="0.25">
      <c r="C146" s="70"/>
      <c r="D146" s="31"/>
      <c r="E146" s="93"/>
      <c r="F146" s="93"/>
      <c r="G146" s="93"/>
      <c r="H146" s="76"/>
      <c r="I146" s="76"/>
      <c r="J146" s="76"/>
      <c r="K146" s="112"/>
    </row>
    <row r="147" spans="3:11" x14ac:dyDescent="0.25">
      <c r="C147" s="70"/>
      <c r="D147" s="31"/>
      <c r="E147" s="93"/>
      <c r="F147" s="93"/>
      <c r="G147" s="93"/>
      <c r="H147" s="76"/>
      <c r="I147" s="76"/>
      <c r="J147" s="76"/>
      <c r="K147" s="112"/>
    </row>
    <row r="148" spans="3:11" ht="15.75" x14ac:dyDescent="0.25">
      <c r="C148" s="202" t="s">
        <v>390</v>
      </c>
      <c r="D148" s="368"/>
      <c r="E148" s="93"/>
      <c r="F148" s="93"/>
      <c r="G148" s="93"/>
      <c r="H148" s="76"/>
      <c r="I148" s="76"/>
      <c r="J148" s="76"/>
      <c r="K148" s="112"/>
    </row>
    <row r="149" spans="3:11" ht="18.75" x14ac:dyDescent="0.25">
      <c r="C149" s="210" t="e">
        <f>IFERROR(VLOOKUP(D148,'1. Desarrollo e Innov. Curricu.'!$F:$G,2,FALSE),IFERROR(VLOOKUP(D148,'2. Investigación Científica'!$F:$G,2,FALSE),IFERROR(VLOOKUP(D148,'3. Vinculación Univ. Sociedad'!$F:$G,2,FALSE),IFERROR(VLOOKUP(D148,'4. Docencia y Profesorado Univ.'!$F:$G,2,FALSE),IFERROR(VLOOKUP(D148,'5. Estudiantes y Graduados'!$F:$G,2,FALSE),IFERROR(VLOOKUP(D148,'11. Gestion Administrativa'!$F:$G,2,FALSE),IFERROR(VLOOKUP(D148,'13. Gestión Académica'!$F:$G,2,FALSE),IFERROR(VLOOKUP(D148,'9. Asegura. de la Calid. y M'!$F:$G,2,FALSE),IFERROR(VLOOKUP(D148,'6. Gestión del Conocimiento'!$F:$G,2,FALSE),IFERROR(VLOOKUP(D148,'15. Gobernabilidad y Proceso...'!$G:$H,2,FALSE),IFERROR(VLOOKUP(D148,'12. Gestión del Talento Humano'!$F:$G,2,FALSE),IFERROR(VLOOKUP(D148,'14. Internacional... de la E.S.'!$F:$G,2,FALSE),IFERROR(VLOOKUP(D148,'10. Posgrado'!$F:$G,2,FALSE),IFERROR(VLOOKUP(D148,'17. Gestión TIC'!$F:$G,2,FALSE),IFERROR(VLOOKUP(D148,'16. Desa. del Sistema Educ.Sup.'!$F:$G,2,FALSE),IFERROR(VLOOKUP(D148,'8. Cultura de Inno. Insti...'!$F:$G,2,FALSE),VLOOKUP(D148,'7. Lo Esencial de la Reforma U.'!$G:$H,2,0)))))))))))))))))</f>
        <v>#N/A</v>
      </c>
      <c r="D149" s="31"/>
      <c r="E149" s="93"/>
      <c r="F149" s="93"/>
      <c r="G149" s="93"/>
      <c r="H149" s="76"/>
      <c r="I149" s="76"/>
      <c r="J149" s="76"/>
      <c r="K149" s="112"/>
    </row>
    <row r="150" spans="3:11" ht="15.75" thickBot="1" x14ac:dyDescent="0.3">
      <c r="C150" s="70"/>
      <c r="D150" s="31"/>
      <c r="E150" s="93"/>
      <c r="F150" s="93"/>
      <c r="G150" s="93"/>
      <c r="H150" s="76"/>
      <c r="I150" s="76"/>
      <c r="J150" s="76"/>
      <c r="K150" s="112"/>
    </row>
    <row r="151" spans="3:11" ht="15.75" thickBot="1" x14ac:dyDescent="0.3">
      <c r="C151" s="126" t="s">
        <v>44</v>
      </c>
      <c r="D151" s="128" t="s">
        <v>55</v>
      </c>
      <c r="E151" s="128" t="s">
        <v>57</v>
      </c>
      <c r="F151" s="127" t="s">
        <v>27</v>
      </c>
      <c r="G151" s="133" t="s">
        <v>129</v>
      </c>
      <c r="H151" s="128" t="s">
        <v>46</v>
      </c>
      <c r="I151" s="128" t="s">
        <v>130</v>
      </c>
      <c r="J151" s="128" t="s">
        <v>408</v>
      </c>
      <c r="K151" s="128" t="s">
        <v>409</v>
      </c>
    </row>
    <row r="152" spans="3:11" x14ac:dyDescent="0.25">
      <c r="C152" s="95" t="s">
        <v>63</v>
      </c>
      <c r="D152" s="158"/>
      <c r="E152" s="96">
        <v>2800</v>
      </c>
      <c r="F152" s="97">
        <f>D152*E152</f>
        <v>0</v>
      </c>
      <c r="G152" s="161"/>
      <c r="H152" s="98" t="s">
        <v>983</v>
      </c>
      <c r="I152" s="98" t="str">
        <f>VLOOKUP(H152,Presupuesto!$B$11:$C$565,2,0)</f>
        <v>MUEBLES VARIOS DE OFICINA</v>
      </c>
      <c r="J152" s="218" t="s">
        <v>1443</v>
      </c>
      <c r="K152" s="98" t="s">
        <v>402</v>
      </c>
    </row>
    <row r="153" spans="3:11" x14ac:dyDescent="0.25">
      <c r="C153" s="99" t="s">
        <v>64</v>
      </c>
      <c r="D153" s="151"/>
      <c r="E153" s="100">
        <v>2400</v>
      </c>
      <c r="F153" s="97">
        <f>D153*E153</f>
        <v>0</v>
      </c>
      <c r="G153" s="161"/>
      <c r="H153" s="101" t="s">
        <v>983</v>
      </c>
      <c r="I153" s="98" t="str">
        <f>VLOOKUP(H153,Presupuesto!$B$11:$C$565,2,0)</f>
        <v>MUEBLES VARIOS DE OFICINA</v>
      </c>
      <c r="J153" s="98" t="str">
        <f>$J$152</f>
        <v>Posgrado</v>
      </c>
      <c r="K153" s="98" t="s">
        <v>410</v>
      </c>
    </row>
    <row r="154" spans="3:11" x14ac:dyDescent="0.25">
      <c r="C154" s="99" t="s">
        <v>65</v>
      </c>
      <c r="D154" s="151"/>
      <c r="E154" s="100">
        <v>1000</v>
      </c>
      <c r="F154" s="97">
        <f t="shared" ref="F154:F161" si="14">D154*E154</f>
        <v>0</v>
      </c>
      <c r="G154" s="161"/>
      <c r="H154" s="101" t="s">
        <v>983</v>
      </c>
      <c r="I154" s="98" t="str">
        <f>VLOOKUP(H154,Presupuesto!$B$11:$C$565,2,0)</f>
        <v>MUEBLES VARIOS DE OFICINA</v>
      </c>
      <c r="J154" s="98" t="str">
        <f t="shared" ref="J154:J161" si="15">$J$152</f>
        <v>Posgrado</v>
      </c>
      <c r="K154" s="98" t="s">
        <v>393</v>
      </c>
    </row>
    <row r="155" spans="3:11" x14ac:dyDescent="0.25">
      <c r="C155" s="99" t="s">
        <v>66</v>
      </c>
      <c r="D155" s="151"/>
      <c r="E155" s="100">
        <v>6000</v>
      </c>
      <c r="F155" s="97">
        <f t="shared" si="14"/>
        <v>0</v>
      </c>
      <c r="G155" s="161"/>
      <c r="H155" s="101" t="s">
        <v>983</v>
      </c>
      <c r="I155" s="98" t="str">
        <f>VLOOKUP(H155,Presupuesto!$B$11:$C$565,2,0)</f>
        <v>MUEBLES VARIOS DE OFICINA</v>
      </c>
      <c r="J155" s="98" t="str">
        <f t="shared" si="15"/>
        <v>Posgrado</v>
      </c>
      <c r="K155" s="98" t="s">
        <v>393</v>
      </c>
    </row>
    <row r="156" spans="3:11" x14ac:dyDescent="0.25">
      <c r="C156" s="99" t="s">
        <v>67</v>
      </c>
      <c r="D156" s="151"/>
      <c r="E156" s="100">
        <v>3000</v>
      </c>
      <c r="F156" s="97">
        <f t="shared" si="14"/>
        <v>0</v>
      </c>
      <c r="G156" s="161"/>
      <c r="H156" s="101" t="s">
        <v>983</v>
      </c>
      <c r="I156" s="98" t="str">
        <f>VLOOKUP(H156,Presupuesto!$B$11:$C$565,2,0)</f>
        <v>MUEBLES VARIOS DE OFICINA</v>
      </c>
      <c r="J156" s="98" t="str">
        <f t="shared" si="15"/>
        <v>Posgrado</v>
      </c>
      <c r="K156" s="98" t="s">
        <v>393</v>
      </c>
    </row>
    <row r="157" spans="3:11" x14ac:dyDescent="0.25">
      <c r="C157" s="99" t="s">
        <v>68</v>
      </c>
      <c r="D157" s="151"/>
      <c r="E157" s="100">
        <v>10000</v>
      </c>
      <c r="F157" s="97">
        <f t="shared" si="14"/>
        <v>0</v>
      </c>
      <c r="G157" s="161"/>
      <c r="H157" s="101" t="s">
        <v>983</v>
      </c>
      <c r="I157" s="98" t="str">
        <f>VLOOKUP(H157,Presupuesto!$B$11:$C$565,2,0)</f>
        <v>MUEBLES VARIOS DE OFICINA</v>
      </c>
      <c r="J157" s="98" t="str">
        <f t="shared" si="15"/>
        <v>Posgrado</v>
      </c>
      <c r="K157" s="98" t="s">
        <v>393</v>
      </c>
    </row>
    <row r="158" spans="3:11" x14ac:dyDescent="0.25">
      <c r="C158" s="99" t="s">
        <v>69</v>
      </c>
      <c r="D158" s="151"/>
      <c r="E158" s="100">
        <v>8000</v>
      </c>
      <c r="F158" s="97">
        <f t="shared" si="14"/>
        <v>0</v>
      </c>
      <c r="G158" s="161"/>
      <c r="H158" s="101" t="s">
        <v>986</v>
      </c>
      <c r="I158" s="98" t="str">
        <f>VLOOKUP(H158,Presupuesto!$B$11:$C$565,2,0)</f>
        <v>EQUIPOS VARIOS DE OFICINA</v>
      </c>
      <c r="J158" s="98" t="str">
        <f t="shared" si="15"/>
        <v>Posgrado</v>
      </c>
      <c r="K158" s="98" t="s">
        <v>393</v>
      </c>
    </row>
    <row r="159" spans="3:11" x14ac:dyDescent="0.25">
      <c r="C159" s="99" t="s">
        <v>70</v>
      </c>
      <c r="D159" s="151"/>
      <c r="E159" s="100">
        <v>2000</v>
      </c>
      <c r="F159" s="97">
        <f t="shared" si="14"/>
        <v>0</v>
      </c>
      <c r="G159" s="161"/>
      <c r="H159" s="101" t="s">
        <v>986</v>
      </c>
      <c r="I159" s="98" t="str">
        <f>VLOOKUP(H159,Presupuesto!$B$11:$C$565,2,0)</f>
        <v>EQUIPOS VARIOS DE OFICINA</v>
      </c>
      <c r="J159" s="98" t="str">
        <f t="shared" si="15"/>
        <v>Posgrado</v>
      </c>
      <c r="K159" s="98" t="s">
        <v>401</v>
      </c>
    </row>
    <row r="160" spans="3:11" x14ac:dyDescent="0.25">
      <c r="C160" s="99" t="s">
        <v>71</v>
      </c>
      <c r="D160" s="151"/>
      <c r="E160" s="100">
        <v>5000</v>
      </c>
      <c r="F160" s="97">
        <f t="shared" si="14"/>
        <v>0</v>
      </c>
      <c r="G160" s="161"/>
      <c r="H160" s="101" t="s">
        <v>986</v>
      </c>
      <c r="I160" s="98" t="str">
        <f>VLOOKUP(H160,Presupuesto!$B$11:$C$565,2,0)</f>
        <v>EQUIPOS VARIOS DE OFICINA</v>
      </c>
      <c r="J160" s="98" t="str">
        <f t="shared" si="15"/>
        <v>Posgrado</v>
      </c>
      <c r="K160" s="98" t="s">
        <v>397</v>
      </c>
    </row>
    <row r="161" spans="3:11" ht="15.75" thickBot="1" x14ac:dyDescent="0.3">
      <c r="C161" s="102" t="s">
        <v>72</v>
      </c>
      <c r="D161" s="159"/>
      <c r="E161" s="104">
        <v>100000</v>
      </c>
      <c r="F161" s="105">
        <f t="shared" si="14"/>
        <v>0</v>
      </c>
      <c r="G161" s="162"/>
      <c r="H161" s="106" t="s">
        <v>986</v>
      </c>
      <c r="I161" s="106" t="str">
        <f>VLOOKUP(H161,Presupuesto!$B$11:$C$565,2,0)</f>
        <v>EQUIPOS VARIOS DE OFICINA</v>
      </c>
      <c r="J161" s="106" t="str">
        <f t="shared" si="15"/>
        <v>Posgrado</v>
      </c>
      <c r="K161" s="124" t="s">
        <v>392</v>
      </c>
    </row>
    <row r="163" spans="3:11" ht="15.75" thickBot="1" x14ac:dyDescent="0.3"/>
    <row r="164" spans="3:11" ht="15.75" thickBot="1" x14ac:dyDescent="0.3">
      <c r="C164" s="29" t="s">
        <v>43</v>
      </c>
      <c r="D164" s="30">
        <f>SUM(F171:F180)</f>
        <v>0</v>
      </c>
      <c r="E164" s="177"/>
      <c r="F164" s="177"/>
      <c r="G164" s="79"/>
      <c r="H164" s="177"/>
      <c r="I164" s="177"/>
    </row>
    <row r="165" spans="3:11" x14ac:dyDescent="0.25">
      <c r="C165" s="70"/>
      <c r="D165" s="31"/>
      <c r="E165" s="93"/>
      <c r="F165" s="93"/>
      <c r="G165" s="93"/>
      <c r="H165" s="76"/>
      <c r="I165" s="76"/>
      <c r="J165" s="76"/>
      <c r="K165" s="112"/>
    </row>
    <row r="166" spans="3:11" x14ac:dyDescent="0.25">
      <c r="C166" s="70"/>
      <c r="D166" s="31"/>
      <c r="E166" s="93"/>
      <c r="F166" s="93"/>
      <c r="G166" s="93"/>
      <c r="H166" s="76"/>
      <c r="I166" s="76"/>
      <c r="J166" s="76"/>
      <c r="K166" s="112"/>
    </row>
    <row r="167" spans="3:11" ht="15.75" x14ac:dyDescent="0.25">
      <c r="C167" s="202" t="s">
        <v>390</v>
      </c>
      <c r="D167" s="368"/>
      <c r="E167" s="93"/>
      <c r="F167" s="93"/>
      <c r="G167" s="93"/>
      <c r="H167" s="76"/>
      <c r="I167" s="76"/>
      <c r="J167" s="76"/>
      <c r="K167" s="112"/>
    </row>
    <row r="168" spans="3:11" ht="18.75" x14ac:dyDescent="0.25">
      <c r="C168" s="210" t="e">
        <f>IFERROR(VLOOKUP(D167,'1. Desarrollo e Innov. Curricu.'!$F:$G,2,FALSE),IFERROR(VLOOKUP(D167,'2. Investigación Científica'!$F:$G,2,FALSE),IFERROR(VLOOKUP(D167,'3. Vinculación Univ. Sociedad'!$F:$G,2,FALSE),IFERROR(VLOOKUP(D167,'4. Docencia y Profesorado Univ.'!$F:$G,2,FALSE),IFERROR(VLOOKUP(D167,'5. Estudiantes y Graduados'!$F:$G,2,FALSE),IFERROR(VLOOKUP(D167,'11. Gestion Administrativa'!$F:$G,2,FALSE),IFERROR(VLOOKUP(D167,'13. Gestión Académica'!$F:$G,2,FALSE),IFERROR(VLOOKUP(D167,'9. Asegura. de la Calid. y M'!$F:$G,2,FALSE),IFERROR(VLOOKUP(D167,'6. Gestión del Conocimiento'!$F:$G,2,FALSE),IFERROR(VLOOKUP(D167,'15. Gobernabilidad y Proceso...'!$G:$H,2,FALSE),IFERROR(VLOOKUP(D167,'12. Gestión del Talento Humano'!$F:$G,2,FALSE),IFERROR(VLOOKUP(D167,'14. Internacional... de la E.S.'!$F:$G,2,FALSE),IFERROR(VLOOKUP(D167,'10. Posgrado'!$F:$G,2,FALSE),IFERROR(VLOOKUP(D167,'17. Gestión TIC'!$F:$G,2,FALSE),IFERROR(VLOOKUP(D167,'16. Desa. del Sistema Educ.Sup.'!$F:$G,2,FALSE),IFERROR(VLOOKUP(D167,'8. Cultura de Inno. Insti...'!$F:$G,2,FALSE),VLOOKUP(D167,'7. Lo Esencial de la Reforma U.'!$G:$H,2,0)))))))))))))))))</f>
        <v>#N/A</v>
      </c>
      <c r="D168" s="31"/>
      <c r="E168" s="93"/>
      <c r="F168" s="93"/>
      <c r="G168" s="93"/>
      <c r="H168" s="76"/>
      <c r="I168" s="76"/>
      <c r="J168" s="76"/>
      <c r="K168" s="112"/>
    </row>
    <row r="169" spans="3:11" ht="15.75" thickBot="1" x14ac:dyDescent="0.3">
      <c r="C169" s="70"/>
      <c r="D169" s="31"/>
      <c r="E169" s="93"/>
      <c r="F169" s="93"/>
      <c r="G169" s="93"/>
      <c r="H169" s="76"/>
      <c r="I169" s="76"/>
      <c r="J169" s="76"/>
      <c r="K169" s="112"/>
    </row>
    <row r="170" spans="3:11" ht="15.75" thickBot="1" x14ac:dyDescent="0.3">
      <c r="C170" s="126" t="s">
        <v>44</v>
      </c>
      <c r="D170" s="128" t="s">
        <v>55</v>
      </c>
      <c r="E170" s="128" t="s">
        <v>57</v>
      </c>
      <c r="F170" s="127" t="s">
        <v>27</v>
      </c>
      <c r="G170" s="133" t="s">
        <v>129</v>
      </c>
      <c r="H170" s="128" t="s">
        <v>46</v>
      </c>
      <c r="I170" s="128" t="s">
        <v>130</v>
      </c>
      <c r="J170" s="128" t="s">
        <v>408</v>
      </c>
      <c r="K170" s="128" t="s">
        <v>409</v>
      </c>
    </row>
    <row r="171" spans="3:11" x14ac:dyDescent="0.25">
      <c r="C171" s="95" t="s">
        <v>63</v>
      </c>
      <c r="D171" s="158"/>
      <c r="E171" s="96">
        <v>2800</v>
      </c>
      <c r="F171" s="97">
        <f>D171*E171</f>
        <v>0</v>
      </c>
      <c r="G171" s="161"/>
      <c r="H171" s="98" t="s">
        <v>983</v>
      </c>
      <c r="I171" s="98" t="str">
        <f>VLOOKUP(H171,Presupuesto!$B$11:$C$565,2,0)</f>
        <v>MUEBLES VARIOS DE OFICINA</v>
      </c>
      <c r="J171" s="218" t="s">
        <v>1443</v>
      </c>
      <c r="K171" s="98" t="s">
        <v>402</v>
      </c>
    </row>
    <row r="172" spans="3:11" x14ac:dyDescent="0.25">
      <c r="C172" s="99" t="s">
        <v>64</v>
      </c>
      <c r="D172" s="151"/>
      <c r="E172" s="100">
        <v>2400</v>
      </c>
      <c r="F172" s="97">
        <f>D172*E172</f>
        <v>0</v>
      </c>
      <c r="G172" s="161"/>
      <c r="H172" s="101" t="s">
        <v>983</v>
      </c>
      <c r="I172" s="98" t="str">
        <f>VLOOKUP(H172,Presupuesto!$B$11:$C$565,2,0)</f>
        <v>MUEBLES VARIOS DE OFICINA</v>
      </c>
      <c r="J172" s="98" t="str">
        <f>$J$171</f>
        <v>Posgrado</v>
      </c>
      <c r="K172" s="98" t="s">
        <v>410</v>
      </c>
    </row>
    <row r="173" spans="3:11" x14ac:dyDescent="0.25">
      <c r="C173" s="99" t="s">
        <v>65</v>
      </c>
      <c r="D173" s="151"/>
      <c r="E173" s="100">
        <v>1000</v>
      </c>
      <c r="F173" s="97">
        <f t="shared" ref="F173:F180" si="16">D173*E173</f>
        <v>0</v>
      </c>
      <c r="G173" s="161"/>
      <c r="H173" s="101" t="s">
        <v>983</v>
      </c>
      <c r="I173" s="98" t="str">
        <f>VLOOKUP(H173,Presupuesto!$B$11:$C$565,2,0)</f>
        <v>MUEBLES VARIOS DE OFICINA</v>
      </c>
      <c r="J173" s="98" t="str">
        <f t="shared" ref="J173:J180" si="17">$J$171</f>
        <v>Posgrado</v>
      </c>
      <c r="K173" s="98" t="s">
        <v>393</v>
      </c>
    </row>
    <row r="174" spans="3:11" x14ac:dyDescent="0.25">
      <c r="C174" s="99" t="s">
        <v>66</v>
      </c>
      <c r="D174" s="151"/>
      <c r="E174" s="100">
        <v>6000</v>
      </c>
      <c r="F174" s="97">
        <f t="shared" si="16"/>
        <v>0</v>
      </c>
      <c r="G174" s="161"/>
      <c r="H174" s="101" t="s">
        <v>983</v>
      </c>
      <c r="I174" s="98" t="str">
        <f>VLOOKUP(H174,Presupuesto!$B$11:$C$565,2,0)</f>
        <v>MUEBLES VARIOS DE OFICINA</v>
      </c>
      <c r="J174" s="98" t="str">
        <f t="shared" si="17"/>
        <v>Posgrado</v>
      </c>
      <c r="K174" s="98" t="s">
        <v>393</v>
      </c>
    </row>
    <row r="175" spans="3:11" x14ac:dyDescent="0.25">
      <c r="C175" s="99" t="s">
        <v>67</v>
      </c>
      <c r="D175" s="151"/>
      <c r="E175" s="100">
        <v>3000</v>
      </c>
      <c r="F175" s="97">
        <f t="shared" si="16"/>
        <v>0</v>
      </c>
      <c r="G175" s="161"/>
      <c r="H175" s="101" t="s">
        <v>983</v>
      </c>
      <c r="I175" s="98" t="str">
        <f>VLOOKUP(H175,Presupuesto!$B$11:$C$565,2,0)</f>
        <v>MUEBLES VARIOS DE OFICINA</v>
      </c>
      <c r="J175" s="98" t="str">
        <f t="shared" si="17"/>
        <v>Posgrado</v>
      </c>
      <c r="K175" s="98" t="s">
        <v>393</v>
      </c>
    </row>
    <row r="176" spans="3:11" x14ac:dyDescent="0.25">
      <c r="C176" s="99" t="s">
        <v>68</v>
      </c>
      <c r="D176" s="151"/>
      <c r="E176" s="100">
        <v>10000</v>
      </c>
      <c r="F176" s="97">
        <f t="shared" si="16"/>
        <v>0</v>
      </c>
      <c r="G176" s="161"/>
      <c r="H176" s="101" t="s">
        <v>983</v>
      </c>
      <c r="I176" s="98" t="str">
        <f>VLOOKUP(H176,Presupuesto!$B$11:$C$565,2,0)</f>
        <v>MUEBLES VARIOS DE OFICINA</v>
      </c>
      <c r="J176" s="98" t="str">
        <f t="shared" si="17"/>
        <v>Posgrado</v>
      </c>
      <c r="K176" s="98" t="s">
        <v>393</v>
      </c>
    </row>
    <row r="177" spans="3:11" x14ac:dyDescent="0.25">
      <c r="C177" s="99" t="s">
        <v>69</v>
      </c>
      <c r="D177" s="151"/>
      <c r="E177" s="100">
        <v>8000</v>
      </c>
      <c r="F177" s="97">
        <f t="shared" si="16"/>
        <v>0</v>
      </c>
      <c r="G177" s="161"/>
      <c r="H177" s="101" t="s">
        <v>986</v>
      </c>
      <c r="I177" s="98" t="str">
        <f>VLOOKUP(H177,Presupuesto!$B$11:$C$565,2,0)</f>
        <v>EQUIPOS VARIOS DE OFICINA</v>
      </c>
      <c r="J177" s="98" t="str">
        <f t="shared" si="17"/>
        <v>Posgrado</v>
      </c>
      <c r="K177" s="98" t="s">
        <v>393</v>
      </c>
    </row>
    <row r="178" spans="3:11" x14ac:dyDescent="0.25">
      <c r="C178" s="99" t="s">
        <v>70</v>
      </c>
      <c r="D178" s="151"/>
      <c r="E178" s="100">
        <v>2000</v>
      </c>
      <c r="F178" s="97">
        <f t="shared" si="16"/>
        <v>0</v>
      </c>
      <c r="G178" s="161"/>
      <c r="H178" s="101" t="s">
        <v>986</v>
      </c>
      <c r="I178" s="98" t="str">
        <f>VLOOKUP(H178,Presupuesto!$B$11:$C$565,2,0)</f>
        <v>EQUIPOS VARIOS DE OFICINA</v>
      </c>
      <c r="J178" s="98" t="str">
        <f t="shared" si="17"/>
        <v>Posgrado</v>
      </c>
      <c r="K178" s="98" t="s">
        <v>401</v>
      </c>
    </row>
    <row r="179" spans="3:11" x14ac:dyDescent="0.25">
      <c r="C179" s="99" t="s">
        <v>71</v>
      </c>
      <c r="D179" s="151"/>
      <c r="E179" s="100">
        <v>5000</v>
      </c>
      <c r="F179" s="97">
        <f t="shared" si="16"/>
        <v>0</v>
      </c>
      <c r="G179" s="161"/>
      <c r="H179" s="101" t="s">
        <v>986</v>
      </c>
      <c r="I179" s="98" t="str">
        <f>VLOOKUP(H179,Presupuesto!$B$11:$C$565,2,0)</f>
        <v>EQUIPOS VARIOS DE OFICINA</v>
      </c>
      <c r="J179" s="98" t="str">
        <f t="shared" si="17"/>
        <v>Posgrado</v>
      </c>
      <c r="K179" s="98" t="s">
        <v>397</v>
      </c>
    </row>
    <row r="180" spans="3:11" ht="15.75" thickBot="1" x14ac:dyDescent="0.3">
      <c r="C180" s="102" t="s">
        <v>72</v>
      </c>
      <c r="D180" s="159"/>
      <c r="E180" s="104">
        <v>100000</v>
      </c>
      <c r="F180" s="105">
        <f t="shared" si="16"/>
        <v>0</v>
      </c>
      <c r="G180" s="162"/>
      <c r="H180" s="106" t="s">
        <v>986</v>
      </c>
      <c r="I180" s="106" t="str">
        <f>VLOOKUP(H180,Presupuesto!$B$11:$C$565,2,0)</f>
        <v>EQUIPOS VARIOS DE OFICINA</v>
      </c>
      <c r="J180" s="106" t="str">
        <f t="shared" si="17"/>
        <v>Posgrado</v>
      </c>
      <c r="K180" s="124" t="s">
        <v>392</v>
      </c>
    </row>
    <row r="182" spans="3:11" ht="15.75" thickBot="1" x14ac:dyDescent="0.3">
      <c r="C182" s="335"/>
      <c r="D182" s="336"/>
      <c r="E182" s="337"/>
      <c r="F182" s="337"/>
      <c r="G182" s="338"/>
      <c r="H182" s="337"/>
      <c r="I182" s="337"/>
      <c r="J182" s="155"/>
      <c r="K182" s="155"/>
    </row>
    <row r="183" spans="3:11" ht="15.75" thickBot="1" x14ac:dyDescent="0.3">
      <c r="C183" s="29" t="s">
        <v>43</v>
      </c>
      <c r="D183" s="30">
        <f>SUM(F190:F199)</f>
        <v>0</v>
      </c>
      <c r="E183" s="177"/>
      <c r="F183" s="177"/>
      <c r="G183" s="79"/>
      <c r="H183" s="177"/>
      <c r="I183" s="177"/>
    </row>
    <row r="184" spans="3:11" x14ac:dyDescent="0.25">
      <c r="C184" s="70"/>
      <c r="D184" s="31"/>
      <c r="E184" s="93"/>
      <c r="F184" s="93"/>
      <c r="G184" s="93"/>
      <c r="H184" s="76"/>
      <c r="I184" s="76"/>
      <c r="J184" s="76"/>
      <c r="K184" s="112"/>
    </row>
    <row r="185" spans="3:11" x14ac:dyDescent="0.25">
      <c r="C185" s="70"/>
      <c r="D185" s="31"/>
      <c r="E185" s="93"/>
      <c r="F185" s="93"/>
      <c r="G185" s="93"/>
      <c r="H185" s="76"/>
      <c r="I185" s="76"/>
      <c r="J185" s="76"/>
      <c r="K185" s="112"/>
    </row>
    <row r="186" spans="3:11" ht="15.75" x14ac:dyDescent="0.25">
      <c r="C186" s="202" t="s">
        <v>390</v>
      </c>
      <c r="D186" s="368"/>
      <c r="E186" s="93"/>
      <c r="F186" s="93"/>
      <c r="G186" s="93"/>
      <c r="H186" s="76"/>
      <c r="I186" s="76"/>
      <c r="J186" s="76"/>
      <c r="K186" s="112"/>
    </row>
    <row r="187" spans="3:11" ht="18.75" x14ac:dyDescent="0.25">
      <c r="C187" s="210" t="e">
        <f>IFERROR(VLOOKUP(D186,'1. Desarrollo e Innov. Curricu.'!$F:$G,2,FALSE),IFERROR(VLOOKUP(D186,'2. Investigación Científica'!$F:$G,2,FALSE),IFERROR(VLOOKUP(D186,'3. Vinculación Univ. Sociedad'!$F:$G,2,FALSE),IFERROR(VLOOKUP(D186,'4. Docencia y Profesorado Univ.'!$F:$G,2,FALSE),IFERROR(VLOOKUP(D186,'5. Estudiantes y Graduados'!$F:$G,2,FALSE),IFERROR(VLOOKUP(D186,'11. Gestion Administrativa'!$F:$G,2,FALSE),IFERROR(VLOOKUP(D186,'13. Gestión Académica'!$F:$G,2,FALSE),IFERROR(VLOOKUP(D186,'9. Asegura. de la Calid. y M'!$F:$G,2,FALSE),IFERROR(VLOOKUP(D186,'6. Gestión del Conocimiento'!$F:$G,2,FALSE),IFERROR(VLOOKUP(D186,'15. Gobernabilidad y Proceso...'!$G:$H,2,FALSE),IFERROR(VLOOKUP(D186,'12. Gestión del Talento Humano'!$F:$G,2,FALSE),IFERROR(VLOOKUP(D186,'14. Internacional... de la E.S.'!$F:$G,2,FALSE),IFERROR(VLOOKUP(D186,'10. Posgrado'!$F:$G,2,FALSE),IFERROR(VLOOKUP(D186,'17. Gestión TIC'!$F:$G,2,FALSE),IFERROR(VLOOKUP(D186,'16. Desa. del Sistema Educ.Sup.'!$F:$G,2,FALSE),IFERROR(VLOOKUP(D186,'8. Cultura de Inno. Insti...'!$F:$G,2,FALSE),VLOOKUP(D186,'7. Lo Esencial de la Reforma U.'!$G:$H,2,0)))))))))))))))))</f>
        <v>#N/A</v>
      </c>
      <c r="D187" s="31"/>
      <c r="E187" s="93"/>
      <c r="F187" s="93"/>
      <c r="G187" s="93"/>
      <c r="H187" s="76"/>
      <c r="I187" s="76"/>
      <c r="J187" s="76"/>
      <c r="K187" s="112"/>
    </row>
    <row r="188" spans="3:11" ht="15.75" thickBot="1" x14ac:dyDescent="0.3">
      <c r="C188" s="70"/>
      <c r="D188" s="31"/>
      <c r="E188" s="93"/>
      <c r="F188" s="93"/>
      <c r="G188" s="93"/>
      <c r="H188" s="76"/>
      <c r="I188" s="76"/>
      <c r="J188" s="76"/>
      <c r="K188" s="112"/>
    </row>
    <row r="189" spans="3:11" ht="15.75" thickBot="1" x14ac:dyDescent="0.3">
      <c r="C189" s="126" t="s">
        <v>44</v>
      </c>
      <c r="D189" s="128" t="s">
        <v>55</v>
      </c>
      <c r="E189" s="128" t="s">
        <v>57</v>
      </c>
      <c r="F189" s="127" t="s">
        <v>27</v>
      </c>
      <c r="G189" s="133" t="s">
        <v>129</v>
      </c>
      <c r="H189" s="128" t="s">
        <v>46</v>
      </c>
      <c r="I189" s="128" t="s">
        <v>130</v>
      </c>
      <c r="J189" s="128" t="s">
        <v>408</v>
      </c>
      <c r="K189" s="128" t="s">
        <v>409</v>
      </c>
    </row>
    <row r="190" spans="3:11" x14ac:dyDescent="0.25">
      <c r="C190" s="95" t="s">
        <v>63</v>
      </c>
      <c r="D190" s="158"/>
      <c r="E190" s="96">
        <v>2800</v>
      </c>
      <c r="F190" s="97">
        <f>D190*E190</f>
        <v>0</v>
      </c>
      <c r="G190" s="161"/>
      <c r="H190" s="98" t="s">
        <v>983</v>
      </c>
      <c r="I190" s="98" t="str">
        <f>VLOOKUP(H190,Presupuesto!$B$11:$C$565,2,0)</f>
        <v>MUEBLES VARIOS DE OFICINA</v>
      </c>
      <c r="J190" s="218" t="s">
        <v>1443</v>
      </c>
      <c r="K190" s="98" t="s">
        <v>402</v>
      </c>
    </row>
    <row r="191" spans="3:11" x14ac:dyDescent="0.25">
      <c r="C191" s="99" t="s">
        <v>64</v>
      </c>
      <c r="D191" s="151"/>
      <c r="E191" s="100">
        <v>2400</v>
      </c>
      <c r="F191" s="97">
        <f>D191*E191</f>
        <v>0</v>
      </c>
      <c r="G191" s="161"/>
      <c r="H191" s="101" t="s">
        <v>983</v>
      </c>
      <c r="I191" s="98" t="str">
        <f>VLOOKUP(H191,Presupuesto!$B$11:$C$565,2,0)</f>
        <v>MUEBLES VARIOS DE OFICINA</v>
      </c>
      <c r="J191" s="98" t="str">
        <f>$J$190</f>
        <v>Posgrado</v>
      </c>
      <c r="K191" s="98" t="s">
        <v>410</v>
      </c>
    </row>
    <row r="192" spans="3:11" x14ac:dyDescent="0.25">
      <c r="C192" s="99" t="s">
        <v>65</v>
      </c>
      <c r="D192" s="151"/>
      <c r="E192" s="100">
        <v>1000</v>
      </c>
      <c r="F192" s="97">
        <f t="shared" ref="F192:F199" si="18">D192*E192</f>
        <v>0</v>
      </c>
      <c r="G192" s="161"/>
      <c r="H192" s="101" t="s">
        <v>983</v>
      </c>
      <c r="I192" s="98" t="str">
        <f>VLOOKUP(H192,Presupuesto!$B$11:$C$565,2,0)</f>
        <v>MUEBLES VARIOS DE OFICINA</v>
      </c>
      <c r="J192" s="98" t="str">
        <f t="shared" ref="J192:J199" si="19">$J$190</f>
        <v>Posgrado</v>
      </c>
      <c r="K192" s="98" t="s">
        <v>393</v>
      </c>
    </row>
    <row r="193" spans="3:11" x14ac:dyDescent="0.25">
      <c r="C193" s="99" t="s">
        <v>66</v>
      </c>
      <c r="D193" s="151"/>
      <c r="E193" s="100">
        <v>6000</v>
      </c>
      <c r="F193" s="97">
        <f t="shared" si="18"/>
        <v>0</v>
      </c>
      <c r="G193" s="161"/>
      <c r="H193" s="101" t="s">
        <v>983</v>
      </c>
      <c r="I193" s="98" t="str">
        <f>VLOOKUP(H193,Presupuesto!$B$11:$C$565,2,0)</f>
        <v>MUEBLES VARIOS DE OFICINA</v>
      </c>
      <c r="J193" s="98" t="str">
        <f t="shared" si="19"/>
        <v>Posgrado</v>
      </c>
      <c r="K193" s="98" t="s">
        <v>393</v>
      </c>
    </row>
    <row r="194" spans="3:11" x14ac:dyDescent="0.25">
      <c r="C194" s="99" t="s">
        <v>67</v>
      </c>
      <c r="D194" s="151"/>
      <c r="E194" s="100">
        <v>3000</v>
      </c>
      <c r="F194" s="97">
        <f t="shared" si="18"/>
        <v>0</v>
      </c>
      <c r="G194" s="161"/>
      <c r="H194" s="101" t="s">
        <v>983</v>
      </c>
      <c r="I194" s="98" t="str">
        <f>VLOOKUP(H194,Presupuesto!$B$11:$C$565,2,0)</f>
        <v>MUEBLES VARIOS DE OFICINA</v>
      </c>
      <c r="J194" s="98" t="str">
        <f t="shared" si="19"/>
        <v>Posgrado</v>
      </c>
      <c r="K194" s="98" t="s">
        <v>393</v>
      </c>
    </row>
    <row r="195" spans="3:11" x14ac:dyDescent="0.25">
      <c r="C195" s="99" t="s">
        <v>68</v>
      </c>
      <c r="D195" s="151"/>
      <c r="E195" s="100">
        <v>10000</v>
      </c>
      <c r="F195" s="97">
        <f t="shared" si="18"/>
        <v>0</v>
      </c>
      <c r="G195" s="161"/>
      <c r="H195" s="101" t="s">
        <v>983</v>
      </c>
      <c r="I195" s="98" t="str">
        <f>VLOOKUP(H195,Presupuesto!$B$11:$C$565,2,0)</f>
        <v>MUEBLES VARIOS DE OFICINA</v>
      </c>
      <c r="J195" s="98" t="str">
        <f t="shared" si="19"/>
        <v>Posgrado</v>
      </c>
      <c r="K195" s="98" t="s">
        <v>393</v>
      </c>
    </row>
    <row r="196" spans="3:11" x14ac:dyDescent="0.25">
      <c r="C196" s="99" t="s">
        <v>69</v>
      </c>
      <c r="D196" s="151"/>
      <c r="E196" s="100">
        <v>8000</v>
      </c>
      <c r="F196" s="97">
        <f t="shared" si="18"/>
        <v>0</v>
      </c>
      <c r="G196" s="161"/>
      <c r="H196" s="101" t="s">
        <v>986</v>
      </c>
      <c r="I196" s="98" t="str">
        <f>VLOOKUP(H196,Presupuesto!$B$11:$C$565,2,0)</f>
        <v>EQUIPOS VARIOS DE OFICINA</v>
      </c>
      <c r="J196" s="98" t="str">
        <f t="shared" si="19"/>
        <v>Posgrado</v>
      </c>
      <c r="K196" s="98" t="s">
        <v>393</v>
      </c>
    </row>
    <row r="197" spans="3:11" x14ac:dyDescent="0.25">
      <c r="C197" s="99" t="s">
        <v>70</v>
      </c>
      <c r="D197" s="151"/>
      <c r="E197" s="100">
        <v>2000</v>
      </c>
      <c r="F197" s="97">
        <f t="shared" si="18"/>
        <v>0</v>
      </c>
      <c r="G197" s="161"/>
      <c r="H197" s="101" t="s">
        <v>986</v>
      </c>
      <c r="I197" s="98" t="str">
        <f>VLOOKUP(H197,Presupuesto!$B$11:$C$565,2,0)</f>
        <v>EQUIPOS VARIOS DE OFICINA</v>
      </c>
      <c r="J197" s="98" t="str">
        <f t="shared" si="19"/>
        <v>Posgrado</v>
      </c>
      <c r="K197" s="98" t="s">
        <v>401</v>
      </c>
    </row>
    <row r="198" spans="3:11" x14ac:dyDescent="0.25">
      <c r="C198" s="99" t="s">
        <v>71</v>
      </c>
      <c r="D198" s="151"/>
      <c r="E198" s="100">
        <v>5000</v>
      </c>
      <c r="F198" s="97">
        <f t="shared" si="18"/>
        <v>0</v>
      </c>
      <c r="G198" s="161"/>
      <c r="H198" s="101" t="s">
        <v>986</v>
      </c>
      <c r="I198" s="98" t="str">
        <f>VLOOKUP(H198,Presupuesto!$B$11:$C$565,2,0)</f>
        <v>EQUIPOS VARIOS DE OFICINA</v>
      </c>
      <c r="J198" s="98" t="str">
        <f t="shared" si="19"/>
        <v>Posgrado</v>
      </c>
      <c r="K198" s="98" t="s">
        <v>397</v>
      </c>
    </row>
    <row r="199" spans="3:11" ht="15.75" thickBot="1" x14ac:dyDescent="0.3">
      <c r="C199" s="102" t="s">
        <v>72</v>
      </c>
      <c r="D199" s="159"/>
      <c r="E199" s="104">
        <v>100000</v>
      </c>
      <c r="F199" s="105">
        <f t="shared" si="18"/>
        <v>0</v>
      </c>
      <c r="G199" s="162"/>
      <c r="H199" s="106" t="s">
        <v>986</v>
      </c>
      <c r="I199" s="106" t="str">
        <f>VLOOKUP(H199,Presupuesto!$B$11:$C$565,2,0)</f>
        <v>EQUIPOS VARIOS DE OFICINA</v>
      </c>
      <c r="J199" s="106" t="str">
        <f t="shared" si="19"/>
        <v>Posgrado</v>
      </c>
      <c r="K199" s="124" t="s">
        <v>392</v>
      </c>
    </row>
    <row r="201" spans="3:11" ht="15.75" thickBot="1" x14ac:dyDescent="0.3"/>
    <row r="202" spans="3:11" ht="15.75" thickBot="1" x14ac:dyDescent="0.3">
      <c r="C202" s="29" t="s">
        <v>43</v>
      </c>
      <c r="D202" s="30">
        <f>SUM(F209:F218)</f>
        <v>0</v>
      </c>
      <c r="E202" s="177"/>
      <c r="F202" s="177"/>
      <c r="G202" s="79"/>
      <c r="H202" s="177"/>
      <c r="I202" s="177"/>
    </row>
    <row r="203" spans="3:11" x14ac:dyDescent="0.25">
      <c r="C203" s="70"/>
      <c r="D203" s="31"/>
      <c r="E203" s="93"/>
      <c r="F203" s="93"/>
      <c r="G203" s="93"/>
      <c r="H203" s="76"/>
      <c r="I203" s="76"/>
      <c r="J203" s="76"/>
      <c r="K203" s="112"/>
    </row>
    <row r="204" spans="3:11" x14ac:dyDescent="0.25">
      <c r="C204" s="70"/>
      <c r="D204" s="31"/>
      <c r="E204" s="93"/>
      <c r="F204" s="93"/>
      <c r="G204" s="93"/>
      <c r="H204" s="76"/>
      <c r="I204" s="76"/>
      <c r="J204" s="76"/>
      <c r="K204" s="112"/>
    </row>
    <row r="205" spans="3:11" ht="15.75" x14ac:dyDescent="0.25">
      <c r="C205" s="202" t="s">
        <v>390</v>
      </c>
      <c r="D205" s="368"/>
      <c r="E205" s="93"/>
      <c r="F205" s="93"/>
      <c r="G205" s="93"/>
      <c r="H205" s="76"/>
      <c r="I205" s="76"/>
      <c r="J205" s="76"/>
      <c r="K205" s="112"/>
    </row>
    <row r="206" spans="3:11" ht="18.75" x14ac:dyDescent="0.25">
      <c r="C206" s="210" t="e">
        <f>IFERROR(VLOOKUP(D205,'1. Desarrollo e Innov. Curricu.'!$F:$G,2,FALSE),IFERROR(VLOOKUP(D205,'2. Investigación Científica'!$F:$G,2,FALSE),IFERROR(VLOOKUP(D205,'3. Vinculación Univ. Sociedad'!$F:$G,2,FALSE),IFERROR(VLOOKUP(D205,'4. Docencia y Profesorado Univ.'!$F:$G,2,FALSE),IFERROR(VLOOKUP(D205,'5. Estudiantes y Graduados'!$F:$G,2,FALSE),IFERROR(VLOOKUP(D205,'11. Gestion Administrativa'!$F:$G,2,FALSE),IFERROR(VLOOKUP(D205,'13. Gestión Académica'!$F:$G,2,FALSE),IFERROR(VLOOKUP(D205,'9. Asegura. de la Calid. y M'!$F:$G,2,FALSE),IFERROR(VLOOKUP(D205,'6. Gestión del Conocimiento'!$F:$G,2,FALSE),IFERROR(VLOOKUP(D205,'15. Gobernabilidad y Proceso...'!$G:$H,2,FALSE),IFERROR(VLOOKUP(D205,'12. Gestión del Talento Humano'!$F:$G,2,FALSE),IFERROR(VLOOKUP(D205,'14. Internacional... de la E.S.'!$F:$G,2,FALSE),IFERROR(VLOOKUP(D205,'10. Posgrado'!$F:$G,2,FALSE),IFERROR(VLOOKUP(D205,'17. Gestión TIC'!$F:$G,2,FALSE),IFERROR(VLOOKUP(D205,'16. Desa. del Sistema Educ.Sup.'!$F:$G,2,FALSE),IFERROR(VLOOKUP(D205,'8. Cultura de Inno. Insti...'!$F:$G,2,FALSE),VLOOKUP(D205,'7. Lo Esencial de la Reforma U.'!$G:$H,2,0)))))))))))))))))</f>
        <v>#N/A</v>
      </c>
      <c r="D206" s="31"/>
      <c r="E206" s="93"/>
      <c r="F206" s="93"/>
      <c r="G206" s="93"/>
      <c r="H206" s="76"/>
      <c r="I206" s="76"/>
      <c r="J206" s="76"/>
      <c r="K206" s="112"/>
    </row>
    <row r="207" spans="3:11" ht="15.75" thickBot="1" x14ac:dyDescent="0.3">
      <c r="C207" s="70"/>
      <c r="D207" s="31"/>
      <c r="E207" s="93"/>
      <c r="F207" s="93"/>
      <c r="G207" s="93"/>
      <c r="H207" s="76"/>
      <c r="I207" s="76"/>
      <c r="J207" s="76"/>
      <c r="K207" s="112"/>
    </row>
    <row r="208" spans="3:11" ht="15.75" thickBot="1" x14ac:dyDescent="0.3">
      <c r="C208" s="126" t="s">
        <v>44</v>
      </c>
      <c r="D208" s="128" t="s">
        <v>55</v>
      </c>
      <c r="E208" s="128" t="s">
        <v>57</v>
      </c>
      <c r="F208" s="127" t="s">
        <v>27</v>
      </c>
      <c r="G208" s="133" t="s">
        <v>129</v>
      </c>
      <c r="H208" s="128" t="s">
        <v>46</v>
      </c>
      <c r="I208" s="128" t="s">
        <v>130</v>
      </c>
      <c r="J208" s="128" t="s">
        <v>408</v>
      </c>
      <c r="K208" s="128" t="s">
        <v>409</v>
      </c>
    </row>
    <row r="209" spans="3:11" x14ac:dyDescent="0.25">
      <c r="C209" s="95" t="s">
        <v>63</v>
      </c>
      <c r="D209" s="158"/>
      <c r="E209" s="96">
        <v>2800</v>
      </c>
      <c r="F209" s="97">
        <f>D209*E209</f>
        <v>0</v>
      </c>
      <c r="G209" s="161"/>
      <c r="H209" s="98" t="s">
        <v>983</v>
      </c>
      <c r="I209" s="98" t="str">
        <f>VLOOKUP(H209,Presupuesto!$B$11:$C$565,2,0)</f>
        <v>MUEBLES VARIOS DE OFICINA</v>
      </c>
      <c r="J209" s="218" t="s">
        <v>1443</v>
      </c>
      <c r="K209" s="98" t="s">
        <v>402</v>
      </c>
    </row>
    <row r="210" spans="3:11" x14ac:dyDescent="0.25">
      <c r="C210" s="99" t="s">
        <v>64</v>
      </c>
      <c r="D210" s="151"/>
      <c r="E210" s="100">
        <v>2400</v>
      </c>
      <c r="F210" s="97">
        <f>D210*E210</f>
        <v>0</v>
      </c>
      <c r="G210" s="161"/>
      <c r="H210" s="101" t="s">
        <v>983</v>
      </c>
      <c r="I210" s="98" t="str">
        <f>VLOOKUP(H210,Presupuesto!$B$11:$C$565,2,0)</f>
        <v>MUEBLES VARIOS DE OFICINA</v>
      </c>
      <c r="J210" s="98" t="str">
        <f>$J$209</f>
        <v>Posgrado</v>
      </c>
      <c r="K210" s="98" t="s">
        <v>410</v>
      </c>
    </row>
    <row r="211" spans="3:11" x14ac:dyDescent="0.25">
      <c r="C211" s="99" t="s">
        <v>65</v>
      </c>
      <c r="D211" s="151"/>
      <c r="E211" s="100">
        <v>1000</v>
      </c>
      <c r="F211" s="97">
        <f t="shared" ref="F211:F218" si="20">D211*E211</f>
        <v>0</v>
      </c>
      <c r="G211" s="161"/>
      <c r="H211" s="101" t="s">
        <v>983</v>
      </c>
      <c r="I211" s="98" t="str">
        <f>VLOOKUP(H211,Presupuesto!$B$11:$C$565,2,0)</f>
        <v>MUEBLES VARIOS DE OFICINA</v>
      </c>
      <c r="J211" s="98" t="str">
        <f t="shared" ref="J211:J218" si="21">$J$209</f>
        <v>Posgrado</v>
      </c>
      <c r="K211" s="98" t="s">
        <v>393</v>
      </c>
    </row>
    <row r="212" spans="3:11" x14ac:dyDescent="0.25">
      <c r="C212" s="99" t="s">
        <v>66</v>
      </c>
      <c r="D212" s="151"/>
      <c r="E212" s="100">
        <v>6000</v>
      </c>
      <c r="F212" s="97">
        <f t="shared" si="20"/>
        <v>0</v>
      </c>
      <c r="G212" s="161"/>
      <c r="H212" s="101" t="s">
        <v>983</v>
      </c>
      <c r="I212" s="98" t="str">
        <f>VLOOKUP(H212,Presupuesto!$B$11:$C$565,2,0)</f>
        <v>MUEBLES VARIOS DE OFICINA</v>
      </c>
      <c r="J212" s="98" t="str">
        <f t="shared" si="21"/>
        <v>Posgrado</v>
      </c>
      <c r="K212" s="98" t="s">
        <v>393</v>
      </c>
    </row>
    <row r="213" spans="3:11" x14ac:dyDescent="0.25">
      <c r="C213" s="99" t="s">
        <v>67</v>
      </c>
      <c r="D213" s="151"/>
      <c r="E213" s="100">
        <v>3000</v>
      </c>
      <c r="F213" s="97">
        <f t="shared" si="20"/>
        <v>0</v>
      </c>
      <c r="G213" s="161"/>
      <c r="H213" s="101" t="s">
        <v>983</v>
      </c>
      <c r="I213" s="98" t="str">
        <f>VLOOKUP(H213,Presupuesto!$B$11:$C$565,2,0)</f>
        <v>MUEBLES VARIOS DE OFICINA</v>
      </c>
      <c r="J213" s="98" t="str">
        <f t="shared" si="21"/>
        <v>Posgrado</v>
      </c>
      <c r="K213" s="98" t="s">
        <v>393</v>
      </c>
    </row>
    <row r="214" spans="3:11" x14ac:dyDescent="0.25">
      <c r="C214" s="99" t="s">
        <v>68</v>
      </c>
      <c r="D214" s="151"/>
      <c r="E214" s="100">
        <v>10000</v>
      </c>
      <c r="F214" s="97">
        <f t="shared" si="20"/>
        <v>0</v>
      </c>
      <c r="G214" s="161"/>
      <c r="H214" s="101" t="s">
        <v>983</v>
      </c>
      <c r="I214" s="98" t="str">
        <f>VLOOKUP(H214,Presupuesto!$B$11:$C$565,2,0)</f>
        <v>MUEBLES VARIOS DE OFICINA</v>
      </c>
      <c r="J214" s="98" t="str">
        <f t="shared" si="21"/>
        <v>Posgrado</v>
      </c>
      <c r="K214" s="98" t="s">
        <v>393</v>
      </c>
    </row>
    <row r="215" spans="3:11" x14ac:dyDescent="0.25">
      <c r="C215" s="99" t="s">
        <v>69</v>
      </c>
      <c r="D215" s="151"/>
      <c r="E215" s="100">
        <v>8000</v>
      </c>
      <c r="F215" s="97">
        <f t="shared" si="20"/>
        <v>0</v>
      </c>
      <c r="G215" s="161"/>
      <c r="H215" s="101" t="s">
        <v>986</v>
      </c>
      <c r="I215" s="98" t="str">
        <f>VLOOKUP(H215,Presupuesto!$B$11:$C$565,2,0)</f>
        <v>EQUIPOS VARIOS DE OFICINA</v>
      </c>
      <c r="J215" s="98" t="str">
        <f t="shared" si="21"/>
        <v>Posgrado</v>
      </c>
      <c r="K215" s="98" t="s">
        <v>393</v>
      </c>
    </row>
    <row r="216" spans="3:11" x14ac:dyDescent="0.25">
      <c r="C216" s="99" t="s">
        <v>70</v>
      </c>
      <c r="D216" s="151"/>
      <c r="E216" s="100">
        <v>2000</v>
      </c>
      <c r="F216" s="97">
        <f t="shared" si="20"/>
        <v>0</v>
      </c>
      <c r="G216" s="161"/>
      <c r="H216" s="101" t="s">
        <v>986</v>
      </c>
      <c r="I216" s="98" t="str">
        <f>VLOOKUP(H216,Presupuesto!$B$11:$C$565,2,0)</f>
        <v>EQUIPOS VARIOS DE OFICINA</v>
      </c>
      <c r="J216" s="98" t="str">
        <f t="shared" si="21"/>
        <v>Posgrado</v>
      </c>
      <c r="K216" s="98" t="s">
        <v>401</v>
      </c>
    </row>
    <row r="217" spans="3:11" x14ac:dyDescent="0.25">
      <c r="C217" s="99" t="s">
        <v>71</v>
      </c>
      <c r="D217" s="151"/>
      <c r="E217" s="100">
        <v>5000</v>
      </c>
      <c r="F217" s="97">
        <f t="shared" si="20"/>
        <v>0</v>
      </c>
      <c r="G217" s="161"/>
      <c r="H217" s="101" t="s">
        <v>986</v>
      </c>
      <c r="I217" s="98" t="str">
        <f>VLOOKUP(H217,Presupuesto!$B$11:$C$565,2,0)</f>
        <v>EQUIPOS VARIOS DE OFICINA</v>
      </c>
      <c r="J217" s="98" t="str">
        <f t="shared" si="21"/>
        <v>Posgrado</v>
      </c>
      <c r="K217" s="98" t="s">
        <v>397</v>
      </c>
    </row>
    <row r="218" spans="3:11" ht="15.75" thickBot="1" x14ac:dyDescent="0.3">
      <c r="C218" s="102" t="s">
        <v>72</v>
      </c>
      <c r="D218" s="159"/>
      <c r="E218" s="104">
        <v>100000</v>
      </c>
      <c r="F218" s="105">
        <f t="shared" si="20"/>
        <v>0</v>
      </c>
      <c r="G218" s="162"/>
      <c r="H218" s="106" t="s">
        <v>986</v>
      </c>
      <c r="I218" s="106" t="str">
        <f>VLOOKUP(H218,Presupuesto!$B$11:$C$565,2,0)</f>
        <v>EQUIPOS VARIOS DE OFICINA</v>
      </c>
      <c r="J218" s="106" t="str">
        <f t="shared" si="21"/>
        <v>Posgrado</v>
      </c>
      <c r="K218" s="124" t="s">
        <v>392</v>
      </c>
    </row>
    <row r="220" spans="3:11" ht="15.75" thickBot="1" x14ac:dyDescent="0.3">
      <c r="C220" s="335"/>
      <c r="D220" s="336"/>
      <c r="E220" s="337"/>
      <c r="F220" s="337"/>
      <c r="G220" s="338"/>
      <c r="H220" s="337"/>
      <c r="I220" s="337"/>
      <c r="J220" s="155"/>
      <c r="K220" s="155"/>
    </row>
    <row r="221" spans="3:11" ht="15.75" thickBot="1" x14ac:dyDescent="0.3">
      <c r="C221" s="29" t="s">
        <v>43</v>
      </c>
      <c r="D221" s="30">
        <f>SUM(F228:F237)</f>
        <v>0</v>
      </c>
      <c r="E221" s="177"/>
      <c r="F221" s="177"/>
      <c r="G221" s="79"/>
      <c r="H221" s="177"/>
      <c r="I221" s="177"/>
    </row>
    <row r="222" spans="3:11" x14ac:dyDescent="0.25">
      <c r="C222" s="70"/>
      <c r="D222" s="31"/>
      <c r="E222" s="93"/>
      <c r="F222" s="93"/>
      <c r="G222" s="93"/>
      <c r="H222" s="76"/>
      <c r="I222" s="76"/>
      <c r="J222" s="76"/>
      <c r="K222" s="112"/>
    </row>
    <row r="223" spans="3:11" x14ac:dyDescent="0.25">
      <c r="C223" s="70"/>
      <c r="D223" s="31"/>
      <c r="E223" s="93"/>
      <c r="F223" s="93"/>
      <c r="G223" s="93"/>
      <c r="H223" s="76"/>
      <c r="I223" s="76"/>
      <c r="J223" s="76"/>
      <c r="K223" s="112"/>
    </row>
    <row r="224" spans="3:11" ht="15.75" x14ac:dyDescent="0.25">
      <c r="C224" s="202" t="s">
        <v>390</v>
      </c>
      <c r="D224" s="368"/>
      <c r="E224" s="93"/>
      <c r="F224" s="93"/>
      <c r="G224" s="93"/>
      <c r="H224" s="76"/>
      <c r="I224" s="76"/>
      <c r="J224" s="76"/>
      <c r="K224" s="112"/>
    </row>
    <row r="225" spans="3:11" ht="18.75" x14ac:dyDescent="0.25">
      <c r="C225" s="210" t="e">
        <f>IFERROR(VLOOKUP(D224,'1. Desarrollo e Innov. Curricu.'!$F:$G,2,FALSE),IFERROR(VLOOKUP(D224,'2. Investigación Científica'!$F:$G,2,FALSE),IFERROR(VLOOKUP(D224,'3. Vinculación Univ. Sociedad'!$F:$G,2,FALSE),IFERROR(VLOOKUP(D224,'4. Docencia y Profesorado Univ.'!$F:$G,2,FALSE),IFERROR(VLOOKUP(D224,'5. Estudiantes y Graduados'!$F:$G,2,FALSE),IFERROR(VLOOKUP(D224,'11. Gestion Administrativa'!$F:$G,2,FALSE),IFERROR(VLOOKUP(D224,'13. Gestión Académica'!$F:$G,2,FALSE),IFERROR(VLOOKUP(D224,'9. Asegura. de la Calid. y M'!$F:$G,2,FALSE),IFERROR(VLOOKUP(D224,'6. Gestión del Conocimiento'!$F:$G,2,FALSE),IFERROR(VLOOKUP(D224,'15. Gobernabilidad y Proceso...'!$G:$H,2,FALSE),IFERROR(VLOOKUP(D224,'12. Gestión del Talento Humano'!$F:$G,2,FALSE),IFERROR(VLOOKUP(D224,'14. Internacional... de la E.S.'!$F:$G,2,FALSE),IFERROR(VLOOKUP(D224,'10. Posgrado'!$F:$G,2,FALSE),IFERROR(VLOOKUP(D224,'17. Gestión TIC'!$F:$G,2,FALSE),IFERROR(VLOOKUP(D224,'16. Desa. del Sistema Educ.Sup.'!$F:$G,2,FALSE),IFERROR(VLOOKUP(D224,'8. Cultura de Inno. Insti...'!$F:$G,2,FALSE),VLOOKUP(D224,'7. Lo Esencial de la Reforma U.'!$G:$H,2,0)))))))))))))))))</f>
        <v>#N/A</v>
      </c>
      <c r="D225" s="31"/>
      <c r="E225" s="93"/>
      <c r="F225" s="93"/>
      <c r="G225" s="93"/>
      <c r="H225" s="76"/>
      <c r="I225" s="76"/>
      <c r="J225" s="76"/>
      <c r="K225" s="112"/>
    </row>
    <row r="226" spans="3:11" ht="15.75" thickBot="1" x14ac:dyDescent="0.3">
      <c r="C226" s="70"/>
      <c r="D226" s="31"/>
      <c r="E226" s="93"/>
      <c r="F226" s="93"/>
      <c r="G226" s="93"/>
      <c r="H226" s="76"/>
      <c r="I226" s="76"/>
      <c r="J226" s="76"/>
      <c r="K226" s="112"/>
    </row>
    <row r="227" spans="3:11" ht="15.75" thickBot="1" x14ac:dyDescent="0.3">
      <c r="C227" s="126" t="s">
        <v>44</v>
      </c>
      <c r="D227" s="128" t="s">
        <v>55</v>
      </c>
      <c r="E227" s="128" t="s">
        <v>57</v>
      </c>
      <c r="F227" s="127" t="s">
        <v>27</v>
      </c>
      <c r="G227" s="133" t="s">
        <v>129</v>
      </c>
      <c r="H227" s="128" t="s">
        <v>46</v>
      </c>
      <c r="I227" s="128" t="s">
        <v>130</v>
      </c>
      <c r="J227" s="128" t="s">
        <v>408</v>
      </c>
      <c r="K227" s="128" t="s">
        <v>409</v>
      </c>
    </row>
    <row r="228" spans="3:11" x14ac:dyDescent="0.25">
      <c r="C228" s="95" t="s">
        <v>63</v>
      </c>
      <c r="D228" s="158"/>
      <c r="E228" s="96">
        <v>2800</v>
      </c>
      <c r="F228" s="97">
        <f>D228*E228</f>
        <v>0</v>
      </c>
      <c r="G228" s="161"/>
      <c r="H228" s="98" t="s">
        <v>983</v>
      </c>
      <c r="I228" s="98" t="str">
        <f>VLOOKUP(H228,Presupuesto!$B$11:$C$565,2,0)</f>
        <v>MUEBLES VARIOS DE OFICINA</v>
      </c>
      <c r="J228" s="218" t="s">
        <v>1468</v>
      </c>
      <c r="K228" s="98" t="s">
        <v>402</v>
      </c>
    </row>
    <row r="229" spans="3:11" x14ac:dyDescent="0.25">
      <c r="C229" s="99" t="s">
        <v>64</v>
      </c>
      <c r="D229" s="151"/>
      <c r="E229" s="100">
        <v>2400</v>
      </c>
      <c r="F229" s="97">
        <f>D229*E229</f>
        <v>0</v>
      </c>
      <c r="G229" s="161"/>
      <c r="H229" s="101" t="s">
        <v>983</v>
      </c>
      <c r="I229" s="98" t="str">
        <f>VLOOKUP(H229,Presupuesto!$B$11:$C$565,2,0)</f>
        <v>MUEBLES VARIOS DE OFICINA</v>
      </c>
      <c r="J229" s="98" t="str">
        <f>$J$228</f>
        <v>Desarrollo del Sistema de Educación Superior</v>
      </c>
      <c r="K229" s="98" t="s">
        <v>410</v>
      </c>
    </row>
    <row r="230" spans="3:11" x14ac:dyDescent="0.25">
      <c r="C230" s="99" t="s">
        <v>65</v>
      </c>
      <c r="D230" s="151"/>
      <c r="E230" s="100">
        <v>1000</v>
      </c>
      <c r="F230" s="97">
        <f t="shared" ref="F230:F237" si="22">D230*E230</f>
        <v>0</v>
      </c>
      <c r="G230" s="161"/>
      <c r="H230" s="101" t="s">
        <v>983</v>
      </c>
      <c r="I230" s="98" t="str">
        <f>VLOOKUP(H230,Presupuesto!$B$11:$C$565,2,0)</f>
        <v>MUEBLES VARIOS DE OFICINA</v>
      </c>
      <c r="J230" s="98" t="str">
        <f t="shared" ref="J230:J237" si="23">$J$228</f>
        <v>Desarrollo del Sistema de Educación Superior</v>
      </c>
      <c r="K230" s="98" t="s">
        <v>393</v>
      </c>
    </row>
    <row r="231" spans="3:11" x14ac:dyDescent="0.25">
      <c r="C231" s="99" t="s">
        <v>66</v>
      </c>
      <c r="D231" s="151"/>
      <c r="E231" s="100">
        <v>6000</v>
      </c>
      <c r="F231" s="97">
        <f t="shared" si="22"/>
        <v>0</v>
      </c>
      <c r="G231" s="161"/>
      <c r="H231" s="101" t="s">
        <v>983</v>
      </c>
      <c r="I231" s="98" t="str">
        <f>VLOOKUP(H231,Presupuesto!$B$11:$C$565,2,0)</f>
        <v>MUEBLES VARIOS DE OFICINA</v>
      </c>
      <c r="J231" s="98" t="str">
        <f t="shared" si="23"/>
        <v>Desarrollo del Sistema de Educación Superior</v>
      </c>
      <c r="K231" s="98" t="s">
        <v>393</v>
      </c>
    </row>
    <row r="232" spans="3:11" x14ac:dyDescent="0.25">
      <c r="C232" s="99" t="s">
        <v>67</v>
      </c>
      <c r="D232" s="151"/>
      <c r="E232" s="100">
        <v>3000</v>
      </c>
      <c r="F232" s="97">
        <f t="shared" si="22"/>
        <v>0</v>
      </c>
      <c r="G232" s="161"/>
      <c r="H232" s="101" t="s">
        <v>983</v>
      </c>
      <c r="I232" s="98" t="str">
        <f>VLOOKUP(H232,Presupuesto!$B$11:$C$565,2,0)</f>
        <v>MUEBLES VARIOS DE OFICINA</v>
      </c>
      <c r="J232" s="98" t="str">
        <f t="shared" si="23"/>
        <v>Desarrollo del Sistema de Educación Superior</v>
      </c>
      <c r="K232" s="98" t="s">
        <v>393</v>
      </c>
    </row>
    <row r="233" spans="3:11" x14ac:dyDescent="0.25">
      <c r="C233" s="99" t="s">
        <v>68</v>
      </c>
      <c r="D233" s="151"/>
      <c r="E233" s="100">
        <v>10000</v>
      </c>
      <c r="F233" s="97">
        <f t="shared" si="22"/>
        <v>0</v>
      </c>
      <c r="G233" s="161"/>
      <c r="H233" s="101" t="s">
        <v>983</v>
      </c>
      <c r="I233" s="98" t="str">
        <f>VLOOKUP(H233,Presupuesto!$B$11:$C$565,2,0)</f>
        <v>MUEBLES VARIOS DE OFICINA</v>
      </c>
      <c r="J233" s="98" t="str">
        <f t="shared" si="23"/>
        <v>Desarrollo del Sistema de Educación Superior</v>
      </c>
      <c r="K233" s="98" t="s">
        <v>393</v>
      </c>
    </row>
    <row r="234" spans="3:11" x14ac:dyDescent="0.25">
      <c r="C234" s="99" t="s">
        <v>69</v>
      </c>
      <c r="D234" s="151"/>
      <c r="E234" s="100">
        <v>8000</v>
      </c>
      <c r="F234" s="97">
        <f t="shared" si="22"/>
        <v>0</v>
      </c>
      <c r="G234" s="161"/>
      <c r="H234" s="101" t="s">
        <v>986</v>
      </c>
      <c r="I234" s="98" t="str">
        <f>VLOOKUP(H234,Presupuesto!$B$11:$C$565,2,0)</f>
        <v>EQUIPOS VARIOS DE OFICINA</v>
      </c>
      <c r="J234" s="98" t="str">
        <f t="shared" si="23"/>
        <v>Desarrollo del Sistema de Educación Superior</v>
      </c>
      <c r="K234" s="98" t="s">
        <v>393</v>
      </c>
    </row>
    <row r="235" spans="3:11" x14ac:dyDescent="0.25">
      <c r="C235" s="99" t="s">
        <v>70</v>
      </c>
      <c r="D235" s="151"/>
      <c r="E235" s="100">
        <v>2000</v>
      </c>
      <c r="F235" s="97">
        <f t="shared" si="22"/>
        <v>0</v>
      </c>
      <c r="G235" s="161"/>
      <c r="H235" s="101" t="s">
        <v>986</v>
      </c>
      <c r="I235" s="98" t="str">
        <f>VLOOKUP(H235,Presupuesto!$B$11:$C$565,2,0)</f>
        <v>EQUIPOS VARIOS DE OFICINA</v>
      </c>
      <c r="J235" s="98" t="str">
        <f t="shared" si="23"/>
        <v>Desarrollo del Sistema de Educación Superior</v>
      </c>
      <c r="K235" s="98" t="s">
        <v>401</v>
      </c>
    </row>
    <row r="236" spans="3:11" x14ac:dyDescent="0.25">
      <c r="C236" s="99" t="s">
        <v>71</v>
      </c>
      <c r="D236" s="151"/>
      <c r="E236" s="100">
        <v>5000</v>
      </c>
      <c r="F236" s="97">
        <f t="shared" si="22"/>
        <v>0</v>
      </c>
      <c r="G236" s="161"/>
      <c r="H236" s="101" t="s">
        <v>986</v>
      </c>
      <c r="I236" s="98" t="str">
        <f>VLOOKUP(H236,Presupuesto!$B$11:$C$565,2,0)</f>
        <v>EQUIPOS VARIOS DE OFICINA</v>
      </c>
      <c r="J236" s="98" t="str">
        <f t="shared" si="23"/>
        <v>Desarrollo del Sistema de Educación Superior</v>
      </c>
      <c r="K236" s="98" t="s">
        <v>397</v>
      </c>
    </row>
    <row r="237" spans="3:11" ht="15.75" thickBot="1" x14ac:dyDescent="0.3">
      <c r="C237" s="102" t="s">
        <v>72</v>
      </c>
      <c r="D237" s="159"/>
      <c r="E237" s="104">
        <v>100000</v>
      </c>
      <c r="F237" s="105">
        <f t="shared" si="22"/>
        <v>0</v>
      </c>
      <c r="G237" s="162"/>
      <c r="H237" s="106" t="s">
        <v>986</v>
      </c>
      <c r="I237" s="106" t="str">
        <f>VLOOKUP(H237,Presupuesto!$B$11:$C$565,2,0)</f>
        <v>EQUIPOS VARIOS DE OFICINA</v>
      </c>
      <c r="J237" s="106" t="str">
        <f t="shared" si="23"/>
        <v>Desarrollo del Sistema de Educación Superior</v>
      </c>
      <c r="K237" s="124" t="s">
        <v>392</v>
      </c>
    </row>
  </sheetData>
  <autoFilter ref="C12:C237"/>
  <dataValidations xWindow="1164" yWindow="546" count="5">
    <dataValidation type="list" allowBlank="1" showInputMessage="1" showErrorMessage="1" errorTitle="¡Ingreso Invalido!" error="Seleccione una opción de la lista" promptTitle="Tipo de Presupuesto" prompt="Seleccione una opción de la lista" sqref="G36:G47 G228:G237 G57:G66 G76:G85 G95:G104 G114:G123 G133:G142 G152:G161 G171:G180 G190:G199 G209:G218 G17:G26">
      <formula1>$R$2:$S$2</formula1>
    </dataValidation>
    <dataValidation type="list" allowBlank="1" showInputMessage="1" showErrorMessage="1" errorTitle="¡Ingreso Inválido!" error="Seleccione una opción de la lista" promptTitle="Mes Requerido" prompt="Seleccione el mes en el que requiere el recurso." sqref="K228:K237 K36:K47 K57:K66 K76:K85 K95:K104 K114:K123 K133:K142 K152:K161 K171:K180 K190:K199 K209:K218 K17:K26">
      <formula1>$U$2:$AF$2</formula1>
    </dataValidation>
    <dataValidation type="list" allowBlank="1" showInputMessage="1" showErrorMessage="1" errorTitle="¡Ingreso Inválido!" error="Verifique el valor ingresado." promptTitle="Objeto de Gasto" prompt="Ingrese el Objeto de Gasto." sqref="H36:H47 H228:H237 H57:H66 H76:H85 H95:H104 H114:H123 H133:H142 H152:H161 H171:H180 H190:H199 H209:H218 H17:H26">
      <formula1>$A$1:$UI$1</formula1>
    </dataValidation>
    <dataValidation type="list" allowBlank="1" showInputMessage="1" showErrorMessage="1" errorTitle="¡Ingreso Inválido!" error="Seleccione una opción de la lista." promptTitle="Dimensión Estratégica" prompt="Seleccione una opción de la lista." sqref="J37:J47 J58:J66 J77:J85 J96:J104 J115:J123 J134:J142 J153:J161 J172:J180 J191:J199 J210:J218 J229:J237">
      <formula1>$A$2:$P$2</formula1>
    </dataValidation>
    <dataValidation type="list" allowBlank="1" showInputMessage="1" showErrorMessage="1" errorTitle="¡Ingreso Inválido!" error="Seleccione una opción de la lista." promptTitle="Dimensión Estratégica" prompt="Seleccione una opción de la lista." sqref="J228 J36 J57 J76 J95 J114 J133 J152 J171 J190 J209 J17:J26">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743"/>
  <sheetViews>
    <sheetView showGridLines="0" topLeftCell="C33" workbookViewId="0">
      <selection activeCell="D44" sqref="D44"/>
    </sheetView>
  </sheetViews>
  <sheetFormatPr baseColWidth="10" defaultColWidth="11.5703125" defaultRowHeight="15" x14ac:dyDescent="0.25"/>
  <cols>
    <col min="1" max="1" width="1.85546875" style="86" customWidth="1"/>
    <col min="2" max="2" width="7.85546875" style="86" customWidth="1"/>
    <col min="3" max="3" width="66.7109375" style="86" customWidth="1"/>
    <col min="4" max="4" width="29.42578125" style="86" bestFit="1" customWidth="1"/>
    <col min="5" max="5" width="13.85546875" style="86" customWidth="1"/>
    <col min="6" max="6" width="21.85546875" style="86" customWidth="1"/>
    <col min="7" max="7" width="23.85546875" style="77" customWidth="1"/>
    <col min="8" max="8" width="13.42578125" style="86" customWidth="1"/>
    <col min="9" max="9" width="55" style="86" customWidth="1"/>
    <col min="10" max="10" width="28.140625" style="86" bestFit="1" customWidth="1"/>
    <col min="11" max="11" width="19.85546875" style="86" bestFit="1" customWidth="1"/>
    <col min="12" max="16384" width="11.5703125" style="86"/>
  </cols>
  <sheetData>
    <row r="1" spans="1:555" ht="26.25" hidden="1" x14ac:dyDescent="0.25">
      <c r="A1" s="469" t="s">
        <v>249</v>
      </c>
      <c r="B1" s="470" t="s">
        <v>250</v>
      </c>
      <c r="C1" s="467" t="s">
        <v>251</v>
      </c>
      <c r="D1" s="467" t="s">
        <v>494</v>
      </c>
      <c r="E1" s="467" t="s">
        <v>496</v>
      </c>
      <c r="F1" s="467" t="s">
        <v>498</v>
      </c>
      <c r="G1" s="467" t="s">
        <v>500</v>
      </c>
      <c r="H1" s="467" t="s">
        <v>502</v>
      </c>
      <c r="I1" s="467" t="s">
        <v>504</v>
      </c>
      <c r="J1" s="467" t="s">
        <v>252</v>
      </c>
      <c r="K1" s="467" t="s">
        <v>507</v>
      </c>
      <c r="L1" s="467" t="s">
        <v>253</v>
      </c>
      <c r="M1" s="467" t="s">
        <v>509</v>
      </c>
      <c r="N1" s="467" t="s">
        <v>511</v>
      </c>
      <c r="O1" s="467" t="s">
        <v>513</v>
      </c>
      <c r="P1" s="467" t="s">
        <v>254</v>
      </c>
      <c r="Q1" s="467" t="s">
        <v>514</v>
      </c>
      <c r="R1" s="467" t="s">
        <v>517</v>
      </c>
      <c r="S1" s="467" t="s">
        <v>255</v>
      </c>
      <c r="T1" s="467" t="s">
        <v>519</v>
      </c>
      <c r="U1" s="467" t="s">
        <v>256</v>
      </c>
      <c r="V1" s="467" t="s">
        <v>520</v>
      </c>
      <c r="W1" s="467" t="s">
        <v>521</v>
      </c>
      <c r="X1" s="467" t="s">
        <v>525</v>
      </c>
      <c r="Y1" s="467" t="s">
        <v>272</v>
      </c>
      <c r="Z1" s="467" t="s">
        <v>526</v>
      </c>
      <c r="AA1" s="467" t="s">
        <v>528</v>
      </c>
      <c r="AB1" s="467" t="s">
        <v>530</v>
      </c>
      <c r="AC1" s="467" t="s">
        <v>273</v>
      </c>
      <c r="AD1" s="467" t="s">
        <v>532</v>
      </c>
      <c r="AE1" s="467" t="s">
        <v>534</v>
      </c>
      <c r="AF1" s="467" t="s">
        <v>536</v>
      </c>
      <c r="AG1" s="467" t="s">
        <v>538</v>
      </c>
      <c r="AH1" s="467" t="s">
        <v>248</v>
      </c>
      <c r="AI1" s="467" t="s">
        <v>540</v>
      </c>
      <c r="AJ1" s="470" t="s">
        <v>257</v>
      </c>
      <c r="AK1" s="467" t="s">
        <v>542</v>
      </c>
      <c r="AL1" s="467" t="s">
        <v>258</v>
      </c>
      <c r="AM1" s="467" t="s">
        <v>544</v>
      </c>
      <c r="AN1" s="467" t="s">
        <v>546</v>
      </c>
      <c r="AO1" s="467" t="s">
        <v>259</v>
      </c>
      <c r="AP1" s="467" t="s">
        <v>548</v>
      </c>
      <c r="AQ1" s="467" t="s">
        <v>550</v>
      </c>
      <c r="AR1" s="467" t="s">
        <v>260</v>
      </c>
      <c r="AS1" s="467" t="s">
        <v>551</v>
      </c>
      <c r="AT1" s="467" t="s">
        <v>553</v>
      </c>
      <c r="AU1" s="467" t="s">
        <v>554</v>
      </c>
      <c r="AV1" s="467" t="s">
        <v>555</v>
      </c>
      <c r="AW1" s="467" t="s">
        <v>557</v>
      </c>
      <c r="AX1" s="467" t="s">
        <v>559</v>
      </c>
      <c r="AY1" s="467" t="s">
        <v>560</v>
      </c>
      <c r="AZ1" s="467" t="s">
        <v>261</v>
      </c>
      <c r="BA1" s="467" t="s">
        <v>562</v>
      </c>
      <c r="BB1" s="467" t="s">
        <v>564</v>
      </c>
      <c r="BC1" s="467" t="s">
        <v>566</v>
      </c>
      <c r="BD1" s="467" t="s">
        <v>568</v>
      </c>
      <c r="BE1" s="467" t="s">
        <v>570</v>
      </c>
      <c r="BF1" s="467" t="s">
        <v>572</v>
      </c>
      <c r="BG1" s="467" t="s">
        <v>574</v>
      </c>
      <c r="BH1" s="467" t="s">
        <v>576</v>
      </c>
      <c r="BI1" s="467" t="s">
        <v>274</v>
      </c>
      <c r="BJ1" s="467" t="s">
        <v>578</v>
      </c>
      <c r="BK1" s="467" t="s">
        <v>580</v>
      </c>
      <c r="BL1" s="467" t="s">
        <v>582</v>
      </c>
      <c r="BM1" s="467" t="s">
        <v>584</v>
      </c>
      <c r="BN1" s="467" t="s">
        <v>586</v>
      </c>
      <c r="BO1" s="467" t="s">
        <v>588</v>
      </c>
      <c r="BP1" s="467" t="s">
        <v>590</v>
      </c>
      <c r="BQ1" s="467" t="s">
        <v>592</v>
      </c>
      <c r="BR1" s="467" t="s">
        <v>594</v>
      </c>
      <c r="BS1" s="467" t="s">
        <v>596</v>
      </c>
      <c r="BT1" s="470" t="s">
        <v>262</v>
      </c>
      <c r="BU1" s="467" t="s">
        <v>263</v>
      </c>
      <c r="BV1" s="467" t="s">
        <v>598</v>
      </c>
      <c r="BW1" s="467" t="s">
        <v>264</v>
      </c>
      <c r="BX1" s="467" t="s">
        <v>600</v>
      </c>
      <c r="BY1" s="467" t="s">
        <v>602</v>
      </c>
      <c r="BZ1" s="470" t="s">
        <v>265</v>
      </c>
      <c r="CA1" s="467" t="s">
        <v>266</v>
      </c>
      <c r="CB1" s="467" t="s">
        <v>604</v>
      </c>
      <c r="CC1" s="467" t="s">
        <v>267</v>
      </c>
      <c r="CD1" s="467" t="s">
        <v>606</v>
      </c>
      <c r="CE1" s="467" t="s">
        <v>608</v>
      </c>
      <c r="CF1" s="467" t="s">
        <v>610</v>
      </c>
      <c r="CG1" s="470" t="s">
        <v>268</v>
      </c>
      <c r="CH1" s="467" t="s">
        <v>616</v>
      </c>
      <c r="CI1" s="467" t="s">
        <v>618</v>
      </c>
      <c r="CJ1" s="467" t="s">
        <v>269</v>
      </c>
      <c r="CK1" s="467" t="s">
        <v>612</v>
      </c>
      <c r="CL1" s="467" t="s">
        <v>614</v>
      </c>
      <c r="CM1" s="467" t="s">
        <v>270</v>
      </c>
      <c r="CN1" s="467" t="s">
        <v>620</v>
      </c>
      <c r="CO1" s="467" t="s">
        <v>271</v>
      </c>
      <c r="CP1" s="467" t="s">
        <v>621</v>
      </c>
      <c r="CQ1" s="466" t="s">
        <v>275</v>
      </c>
      <c r="CR1" s="470" t="s">
        <v>276</v>
      </c>
      <c r="CS1" s="467" t="s">
        <v>622</v>
      </c>
      <c r="CT1" s="467" t="s">
        <v>623</v>
      </c>
      <c r="CU1" s="467" t="s">
        <v>625</v>
      </c>
      <c r="CV1" s="467" t="s">
        <v>277</v>
      </c>
      <c r="CW1" s="467" t="s">
        <v>627</v>
      </c>
      <c r="CX1" s="467" t="s">
        <v>629</v>
      </c>
      <c r="CY1" s="467" t="s">
        <v>631</v>
      </c>
      <c r="CZ1" s="467" t="s">
        <v>633</v>
      </c>
      <c r="DA1" s="467" t="s">
        <v>635</v>
      </c>
      <c r="DB1" s="467" t="s">
        <v>637</v>
      </c>
      <c r="DC1" s="470" t="s">
        <v>278</v>
      </c>
      <c r="DD1" s="467" t="s">
        <v>279</v>
      </c>
      <c r="DE1" s="467" t="s">
        <v>639</v>
      </c>
      <c r="DF1" s="467" t="s">
        <v>280</v>
      </c>
      <c r="DG1" s="467" t="s">
        <v>641</v>
      </c>
      <c r="DH1" s="467" t="s">
        <v>643</v>
      </c>
      <c r="DI1" s="467" t="s">
        <v>645</v>
      </c>
      <c r="DJ1" s="467" t="s">
        <v>647</v>
      </c>
      <c r="DK1" s="467" t="s">
        <v>649</v>
      </c>
      <c r="DL1" s="467" t="s">
        <v>651</v>
      </c>
      <c r="DM1" s="467" t="s">
        <v>653</v>
      </c>
      <c r="DN1" s="467" t="s">
        <v>281</v>
      </c>
      <c r="DO1" s="467" t="s">
        <v>655</v>
      </c>
      <c r="DP1" s="467" t="s">
        <v>657</v>
      </c>
      <c r="DQ1" s="467" t="s">
        <v>659</v>
      </c>
      <c r="DR1" s="470" t="s">
        <v>282</v>
      </c>
      <c r="DS1" s="467" t="s">
        <v>661</v>
      </c>
      <c r="DT1" s="467" t="s">
        <v>283</v>
      </c>
      <c r="DU1" s="467" t="s">
        <v>663</v>
      </c>
      <c r="DV1" s="467" t="s">
        <v>284</v>
      </c>
      <c r="DW1" s="467" t="s">
        <v>665</v>
      </c>
      <c r="DX1" s="467" t="s">
        <v>667</v>
      </c>
      <c r="DY1" s="467" t="s">
        <v>669</v>
      </c>
      <c r="DZ1" s="467" t="s">
        <v>671</v>
      </c>
      <c r="EA1" s="467" t="s">
        <v>673</v>
      </c>
      <c r="EB1" s="467" t="s">
        <v>675</v>
      </c>
      <c r="EC1" s="467" t="s">
        <v>677</v>
      </c>
      <c r="ED1" s="467" t="s">
        <v>679</v>
      </c>
      <c r="EE1" s="467" t="s">
        <v>681</v>
      </c>
      <c r="EF1" s="467" t="s">
        <v>683</v>
      </c>
      <c r="EG1" s="467" t="s">
        <v>685</v>
      </c>
      <c r="EH1" s="470" t="s">
        <v>285</v>
      </c>
      <c r="EI1" s="467" t="s">
        <v>687</v>
      </c>
      <c r="EJ1" s="467" t="s">
        <v>286</v>
      </c>
      <c r="EK1" s="467" t="s">
        <v>689</v>
      </c>
      <c r="EL1" s="467" t="s">
        <v>691</v>
      </c>
      <c r="EM1" s="467" t="s">
        <v>287</v>
      </c>
      <c r="EN1" s="467" t="s">
        <v>693</v>
      </c>
      <c r="EO1" s="467" t="s">
        <v>695</v>
      </c>
      <c r="EP1" s="467" t="s">
        <v>288</v>
      </c>
      <c r="EQ1" s="467" t="s">
        <v>697</v>
      </c>
      <c r="ER1" s="467" t="s">
        <v>699</v>
      </c>
      <c r="ES1" s="467" t="s">
        <v>701</v>
      </c>
      <c r="ET1" s="467" t="s">
        <v>289</v>
      </c>
      <c r="EU1" s="467" t="s">
        <v>703</v>
      </c>
      <c r="EV1" s="467" t="s">
        <v>705</v>
      </c>
      <c r="EW1" s="470" t="s">
        <v>290</v>
      </c>
      <c r="EX1" s="467" t="s">
        <v>291</v>
      </c>
      <c r="EY1" s="467" t="s">
        <v>707</v>
      </c>
      <c r="EZ1" s="467" t="s">
        <v>709</v>
      </c>
      <c r="FA1" s="467" t="s">
        <v>711</v>
      </c>
      <c r="FB1" s="467" t="s">
        <v>713</v>
      </c>
      <c r="FC1" s="467" t="s">
        <v>292</v>
      </c>
      <c r="FD1" s="467" t="s">
        <v>715</v>
      </c>
      <c r="FE1" s="467" t="s">
        <v>717</v>
      </c>
      <c r="FF1" s="467" t="s">
        <v>719</v>
      </c>
      <c r="FG1" s="467" t="s">
        <v>721</v>
      </c>
      <c r="FH1" s="467" t="s">
        <v>723</v>
      </c>
      <c r="FI1" s="467" t="s">
        <v>293</v>
      </c>
      <c r="FJ1" s="467" t="s">
        <v>726</v>
      </c>
      <c r="FK1" s="467" t="s">
        <v>294</v>
      </c>
      <c r="FL1" s="467" t="s">
        <v>729</v>
      </c>
      <c r="FM1" s="467" t="s">
        <v>730</v>
      </c>
      <c r="FN1" s="467" t="s">
        <v>732</v>
      </c>
      <c r="FO1" s="467" t="s">
        <v>295</v>
      </c>
      <c r="FP1" s="467" t="s">
        <v>735</v>
      </c>
      <c r="FQ1" s="467" t="s">
        <v>736</v>
      </c>
      <c r="FR1" s="467" t="s">
        <v>738</v>
      </c>
      <c r="FS1" s="467" t="s">
        <v>296</v>
      </c>
      <c r="FT1" s="467" t="s">
        <v>741</v>
      </c>
      <c r="FU1" s="467" t="s">
        <v>743</v>
      </c>
      <c r="FV1" s="467" t="s">
        <v>745</v>
      </c>
      <c r="FW1" s="470" t="s">
        <v>297</v>
      </c>
      <c r="FX1" s="470" t="s">
        <v>298</v>
      </c>
      <c r="FY1" s="467" t="s">
        <v>304</v>
      </c>
      <c r="FZ1" s="467" t="s">
        <v>747</v>
      </c>
      <c r="GA1" s="467" t="s">
        <v>749</v>
      </c>
      <c r="GB1" s="467" t="s">
        <v>751</v>
      </c>
      <c r="GC1" s="467" t="s">
        <v>753</v>
      </c>
      <c r="GD1" s="467" t="s">
        <v>755</v>
      </c>
      <c r="GE1" s="467" t="s">
        <v>757</v>
      </c>
      <c r="GF1" s="470" t="s">
        <v>299</v>
      </c>
      <c r="GG1" s="467" t="s">
        <v>305</v>
      </c>
      <c r="GH1" s="467" t="s">
        <v>759</v>
      </c>
      <c r="GI1" s="467" t="s">
        <v>761</v>
      </c>
      <c r="GJ1" s="467" t="s">
        <v>762</v>
      </c>
      <c r="GK1" s="467" t="s">
        <v>306</v>
      </c>
      <c r="GL1" s="467" t="s">
        <v>765</v>
      </c>
      <c r="GM1" s="467" t="s">
        <v>766</v>
      </c>
      <c r="GN1" s="470" t="s">
        <v>300</v>
      </c>
      <c r="GO1" s="467" t="s">
        <v>301</v>
      </c>
      <c r="GP1" s="467" t="s">
        <v>768</v>
      </c>
      <c r="GQ1" s="467" t="s">
        <v>770</v>
      </c>
      <c r="GR1" s="467" t="s">
        <v>772</v>
      </c>
      <c r="GS1" s="467" t="s">
        <v>774</v>
      </c>
      <c r="GT1" s="467" t="s">
        <v>776</v>
      </c>
      <c r="GU1" s="470" t="s">
        <v>302</v>
      </c>
      <c r="GV1" s="467" t="s">
        <v>303</v>
      </c>
      <c r="GW1" s="467" t="s">
        <v>778</v>
      </c>
      <c r="GX1" s="467" t="s">
        <v>780</v>
      </c>
      <c r="GY1" s="467" t="s">
        <v>782</v>
      </c>
      <c r="GZ1" s="467" t="s">
        <v>784</v>
      </c>
      <c r="HA1" s="467" t="s">
        <v>786</v>
      </c>
      <c r="HB1" s="467" t="s">
        <v>788</v>
      </c>
      <c r="HC1" s="466" t="s">
        <v>307</v>
      </c>
      <c r="HD1" s="470" t="s">
        <v>308</v>
      </c>
      <c r="HE1" s="467" t="s">
        <v>309</v>
      </c>
      <c r="HF1" s="467" t="s">
        <v>790</v>
      </c>
      <c r="HG1" s="467" t="s">
        <v>792</v>
      </c>
      <c r="HH1" s="467" t="s">
        <v>794</v>
      </c>
      <c r="HI1" s="467" t="s">
        <v>796</v>
      </c>
      <c r="HJ1" s="467" t="s">
        <v>310</v>
      </c>
      <c r="HK1" s="467" t="s">
        <v>799</v>
      </c>
      <c r="HL1" s="467" t="s">
        <v>327</v>
      </c>
      <c r="HM1" s="467" t="s">
        <v>837</v>
      </c>
      <c r="HN1" s="467" t="s">
        <v>839</v>
      </c>
      <c r="HO1" s="467" t="s">
        <v>841</v>
      </c>
      <c r="HP1" s="470" t="s">
        <v>311</v>
      </c>
      <c r="HQ1" s="467" t="s">
        <v>801</v>
      </c>
      <c r="HR1" s="467" t="s">
        <v>803</v>
      </c>
      <c r="HS1" s="467" t="s">
        <v>312</v>
      </c>
      <c r="HT1" s="467" t="s">
        <v>806</v>
      </c>
      <c r="HU1" s="467" t="s">
        <v>808</v>
      </c>
      <c r="HV1" s="467" t="s">
        <v>809</v>
      </c>
      <c r="HW1" s="467" t="s">
        <v>811</v>
      </c>
      <c r="HX1" s="470" t="s">
        <v>313</v>
      </c>
      <c r="HY1" s="467" t="s">
        <v>813</v>
      </c>
      <c r="HZ1" s="467" t="s">
        <v>815</v>
      </c>
      <c r="IA1" s="467" t="s">
        <v>817</v>
      </c>
      <c r="IB1" s="467" t="s">
        <v>314</v>
      </c>
      <c r="IC1" s="467" t="s">
        <v>819</v>
      </c>
      <c r="ID1" s="467" t="s">
        <v>821</v>
      </c>
      <c r="IE1" s="467" t="s">
        <v>315</v>
      </c>
      <c r="IF1" s="467" t="s">
        <v>823</v>
      </c>
      <c r="IG1" s="467" t="s">
        <v>825</v>
      </c>
      <c r="IH1" s="467" t="s">
        <v>316</v>
      </c>
      <c r="II1" s="467" t="s">
        <v>827</v>
      </c>
      <c r="IJ1" s="467" t="s">
        <v>829</v>
      </c>
      <c r="IK1" s="467" t="s">
        <v>831</v>
      </c>
      <c r="IL1" s="467" t="s">
        <v>833</v>
      </c>
      <c r="IM1" s="467" t="s">
        <v>317</v>
      </c>
      <c r="IN1" s="467" t="s">
        <v>835</v>
      </c>
      <c r="IO1" s="470" t="s">
        <v>318</v>
      </c>
      <c r="IP1" s="467" t="s">
        <v>843</v>
      </c>
      <c r="IQ1" s="467" t="s">
        <v>845</v>
      </c>
      <c r="IR1" s="467" t="s">
        <v>319</v>
      </c>
      <c r="IS1" s="467" t="s">
        <v>847</v>
      </c>
      <c r="IT1" s="467" t="s">
        <v>849</v>
      </c>
      <c r="IU1" s="467" t="s">
        <v>851</v>
      </c>
      <c r="IV1" s="470" t="s">
        <v>320</v>
      </c>
      <c r="IW1" s="467" t="s">
        <v>853</v>
      </c>
      <c r="IX1" s="467" t="s">
        <v>321</v>
      </c>
      <c r="IY1" s="467" t="s">
        <v>856</v>
      </c>
      <c r="IZ1" s="467" t="s">
        <v>858</v>
      </c>
      <c r="JA1" s="467" t="s">
        <v>860</v>
      </c>
      <c r="JB1" s="467" t="s">
        <v>862</v>
      </c>
      <c r="JC1" s="467" t="s">
        <v>864</v>
      </c>
      <c r="JD1" s="467" t="s">
        <v>866</v>
      </c>
      <c r="JE1" s="467" t="s">
        <v>322</v>
      </c>
      <c r="JF1" s="467" t="s">
        <v>869</v>
      </c>
      <c r="JG1" s="467" t="s">
        <v>871</v>
      </c>
      <c r="JH1" s="467" t="s">
        <v>873</v>
      </c>
      <c r="JI1" s="467" t="s">
        <v>875</v>
      </c>
      <c r="JJ1" s="467" t="s">
        <v>877</v>
      </c>
      <c r="JK1" s="467" t="s">
        <v>879</v>
      </c>
      <c r="JL1" s="467" t="s">
        <v>881</v>
      </c>
      <c r="JM1" s="467" t="s">
        <v>883</v>
      </c>
      <c r="JN1" s="467" t="s">
        <v>323</v>
      </c>
      <c r="JO1" s="467" t="s">
        <v>886</v>
      </c>
      <c r="JP1" s="467" t="s">
        <v>888</v>
      </c>
      <c r="JQ1" s="467" t="s">
        <v>890</v>
      </c>
      <c r="JR1" s="467" t="s">
        <v>892</v>
      </c>
      <c r="JS1" s="467" t="s">
        <v>893</v>
      </c>
      <c r="JT1" s="467" t="s">
        <v>895</v>
      </c>
      <c r="JU1" s="467" t="s">
        <v>897</v>
      </c>
      <c r="JV1" s="467" t="s">
        <v>899</v>
      </c>
      <c r="JW1" s="467" t="s">
        <v>901</v>
      </c>
      <c r="JX1" s="467" t="s">
        <v>903</v>
      </c>
      <c r="JY1" s="467" t="s">
        <v>905</v>
      </c>
      <c r="JZ1" s="467" t="s">
        <v>907</v>
      </c>
      <c r="KA1" s="467" t="s">
        <v>909</v>
      </c>
      <c r="KB1" s="467" t="s">
        <v>911</v>
      </c>
      <c r="KC1" s="467" t="s">
        <v>913</v>
      </c>
      <c r="KD1" s="467" t="s">
        <v>915</v>
      </c>
      <c r="KE1" s="467" t="s">
        <v>917</v>
      </c>
      <c r="KF1" s="467" t="s">
        <v>919</v>
      </c>
      <c r="KG1" s="467" t="s">
        <v>921</v>
      </c>
      <c r="KH1" s="467" t="s">
        <v>923</v>
      </c>
      <c r="KI1" s="467" t="s">
        <v>925</v>
      </c>
      <c r="KJ1" s="467" t="s">
        <v>927</v>
      </c>
      <c r="KK1" s="467" t="s">
        <v>929</v>
      </c>
      <c r="KL1" s="467" t="s">
        <v>931</v>
      </c>
      <c r="KM1" s="467" t="s">
        <v>933</v>
      </c>
      <c r="KN1" s="467" t="s">
        <v>935</v>
      </c>
      <c r="KO1" s="470" t="s">
        <v>324</v>
      </c>
      <c r="KP1" s="467" t="s">
        <v>937</v>
      </c>
      <c r="KQ1" s="467" t="s">
        <v>325</v>
      </c>
      <c r="KR1" s="467" t="s">
        <v>940</v>
      </c>
      <c r="KS1" s="467" t="s">
        <v>942</v>
      </c>
      <c r="KT1" s="467" t="s">
        <v>944</v>
      </c>
      <c r="KU1" s="467" t="s">
        <v>946</v>
      </c>
      <c r="KV1" s="467" t="s">
        <v>326</v>
      </c>
      <c r="KW1" s="467" t="s">
        <v>949</v>
      </c>
      <c r="KX1" s="467" t="s">
        <v>951</v>
      </c>
      <c r="KY1" s="467" t="s">
        <v>953</v>
      </c>
      <c r="KZ1" s="467" t="s">
        <v>955</v>
      </c>
      <c r="LA1" s="467" t="s">
        <v>957</v>
      </c>
      <c r="LB1" s="467" t="s">
        <v>959</v>
      </c>
      <c r="LC1" s="467" t="s">
        <v>961</v>
      </c>
      <c r="LD1" s="466" t="s">
        <v>328</v>
      </c>
      <c r="LE1" s="470" t="s">
        <v>329</v>
      </c>
      <c r="LF1" s="467" t="s">
        <v>330</v>
      </c>
      <c r="LG1" s="467" t="s">
        <v>344</v>
      </c>
      <c r="LH1" s="467" t="s">
        <v>963</v>
      </c>
      <c r="LI1" s="467" t="s">
        <v>965</v>
      </c>
      <c r="LJ1" s="467" t="s">
        <v>967</v>
      </c>
      <c r="LK1" s="467" t="s">
        <v>969</v>
      </c>
      <c r="LL1" s="467" t="s">
        <v>345</v>
      </c>
      <c r="LM1" s="467" t="s">
        <v>971</v>
      </c>
      <c r="LN1" s="467" t="s">
        <v>346</v>
      </c>
      <c r="LO1" s="467" t="s">
        <v>973</v>
      </c>
      <c r="LP1" s="467" t="s">
        <v>331</v>
      </c>
      <c r="LQ1" s="467" t="s">
        <v>975</v>
      </c>
      <c r="LR1" s="467" t="s">
        <v>347</v>
      </c>
      <c r="LS1" s="467" t="s">
        <v>977</v>
      </c>
      <c r="LT1" s="467" t="s">
        <v>979</v>
      </c>
      <c r="LU1" s="467" t="s">
        <v>348</v>
      </c>
      <c r="LV1" s="470" t="s">
        <v>332</v>
      </c>
      <c r="LW1" s="467" t="s">
        <v>333</v>
      </c>
      <c r="LX1" s="467" t="s">
        <v>981</v>
      </c>
      <c r="LY1" s="467" t="s">
        <v>983</v>
      </c>
      <c r="LZ1" s="467" t="s">
        <v>984</v>
      </c>
      <c r="MA1" s="467" t="s">
        <v>986</v>
      </c>
      <c r="MB1" s="467" t="s">
        <v>987</v>
      </c>
      <c r="MC1" s="467" t="s">
        <v>989</v>
      </c>
      <c r="MD1" s="467" t="s">
        <v>991</v>
      </c>
      <c r="ME1" s="467" t="s">
        <v>993</v>
      </c>
      <c r="MF1" s="467" t="s">
        <v>995</v>
      </c>
      <c r="MG1" s="467" t="s">
        <v>334</v>
      </c>
      <c r="MH1" s="467" t="s">
        <v>998</v>
      </c>
      <c r="MI1" s="467" t="s">
        <v>999</v>
      </c>
      <c r="MJ1" s="467" t="s">
        <v>1001</v>
      </c>
      <c r="MK1" s="467" t="s">
        <v>335</v>
      </c>
      <c r="ML1" s="467" t="s">
        <v>1004</v>
      </c>
      <c r="MM1" s="467" t="s">
        <v>1005</v>
      </c>
      <c r="MN1" s="467" t="s">
        <v>1007</v>
      </c>
      <c r="MO1" s="467" t="s">
        <v>1009</v>
      </c>
      <c r="MP1" s="467" t="s">
        <v>336</v>
      </c>
      <c r="MQ1" s="467" t="s">
        <v>1012</v>
      </c>
      <c r="MR1" s="467" t="s">
        <v>1014</v>
      </c>
      <c r="MS1" s="467" t="s">
        <v>1016</v>
      </c>
      <c r="MT1" s="467" t="s">
        <v>1018</v>
      </c>
      <c r="MU1" s="467" t="s">
        <v>337</v>
      </c>
      <c r="MV1" s="467" t="s">
        <v>1021</v>
      </c>
      <c r="MW1" s="467" t="s">
        <v>1023</v>
      </c>
      <c r="MX1" s="467" t="s">
        <v>1025</v>
      </c>
      <c r="MY1" s="467" t="s">
        <v>1027</v>
      </c>
      <c r="MZ1" s="467" t="s">
        <v>1029</v>
      </c>
      <c r="NA1" s="467" t="s">
        <v>1031</v>
      </c>
      <c r="NB1" s="467" t="s">
        <v>1033</v>
      </c>
      <c r="NC1" s="467" t="s">
        <v>1035</v>
      </c>
      <c r="ND1" s="467" t="s">
        <v>1037</v>
      </c>
      <c r="NE1" s="467" t="s">
        <v>1039</v>
      </c>
      <c r="NF1" s="467" t="s">
        <v>1041</v>
      </c>
      <c r="NG1" s="467" t="s">
        <v>1042</v>
      </c>
      <c r="NH1" s="470" t="s">
        <v>338</v>
      </c>
      <c r="NI1" s="467" t="s">
        <v>339</v>
      </c>
      <c r="NJ1" s="467" t="s">
        <v>1044</v>
      </c>
      <c r="NK1" s="467" t="s">
        <v>1046</v>
      </c>
      <c r="NL1" s="467" t="s">
        <v>1048</v>
      </c>
      <c r="NM1" s="467" t="s">
        <v>1050</v>
      </c>
      <c r="NN1" s="470" t="s">
        <v>340</v>
      </c>
      <c r="NO1" s="467" t="s">
        <v>341</v>
      </c>
      <c r="NP1" s="467" t="s">
        <v>1051</v>
      </c>
      <c r="NQ1" s="467" t="s">
        <v>342</v>
      </c>
      <c r="NR1" s="467" t="s">
        <v>1053</v>
      </c>
      <c r="NS1" s="467" t="s">
        <v>1055</v>
      </c>
      <c r="NT1" s="467" t="s">
        <v>343</v>
      </c>
      <c r="NU1" s="467" t="s">
        <v>1057</v>
      </c>
      <c r="NV1" s="466" t="s">
        <v>349</v>
      </c>
      <c r="NW1" s="470" t="s">
        <v>350</v>
      </c>
      <c r="NX1" s="467" t="s">
        <v>351</v>
      </c>
      <c r="NY1" s="467" t="s">
        <v>1060</v>
      </c>
      <c r="NZ1" s="467" t="s">
        <v>1062</v>
      </c>
      <c r="OA1" s="467" t="s">
        <v>352</v>
      </c>
      <c r="OB1" s="467" t="s">
        <v>362</v>
      </c>
      <c r="OC1" s="467" t="s">
        <v>1064</v>
      </c>
      <c r="OD1" s="467" t="s">
        <v>1066</v>
      </c>
      <c r="OE1" s="467" t="s">
        <v>1068</v>
      </c>
      <c r="OF1" s="467" t="s">
        <v>1070</v>
      </c>
      <c r="OG1" s="467" t="s">
        <v>1072</v>
      </c>
      <c r="OH1" s="467" t="s">
        <v>1074</v>
      </c>
      <c r="OI1" s="467" t="s">
        <v>1076</v>
      </c>
      <c r="OJ1" s="467" t="s">
        <v>1078</v>
      </c>
      <c r="OK1" s="467" t="s">
        <v>1080</v>
      </c>
      <c r="OL1" s="467" t="s">
        <v>1082</v>
      </c>
      <c r="OM1" s="467" t="s">
        <v>1084</v>
      </c>
      <c r="ON1" s="467" t="s">
        <v>1086</v>
      </c>
      <c r="OO1" s="467" t="s">
        <v>1088</v>
      </c>
      <c r="OP1" s="467" t="s">
        <v>1090</v>
      </c>
      <c r="OQ1" s="467" t="s">
        <v>1092</v>
      </c>
      <c r="OR1" s="467" t="s">
        <v>1094</v>
      </c>
      <c r="OS1" s="467" t="s">
        <v>1096</v>
      </c>
      <c r="OT1" s="467" t="s">
        <v>1098</v>
      </c>
      <c r="OU1" s="467" t="s">
        <v>1100</v>
      </c>
      <c r="OV1" s="467" t="s">
        <v>1102</v>
      </c>
      <c r="OW1" s="467" t="s">
        <v>1104</v>
      </c>
      <c r="OX1" s="467" t="s">
        <v>1106</v>
      </c>
      <c r="OY1" s="467" t="s">
        <v>363</v>
      </c>
      <c r="OZ1" s="467" t="s">
        <v>1109</v>
      </c>
      <c r="PA1" s="467" t="s">
        <v>1111</v>
      </c>
      <c r="PB1" s="467" t="s">
        <v>1112</v>
      </c>
      <c r="PC1" s="467" t="s">
        <v>1114</v>
      </c>
      <c r="PD1" s="467" t="s">
        <v>1116</v>
      </c>
      <c r="PE1" s="467" t="s">
        <v>1118</v>
      </c>
      <c r="PF1" s="467" t="s">
        <v>1120</v>
      </c>
      <c r="PG1" s="467" t="s">
        <v>1122</v>
      </c>
      <c r="PH1" s="467" t="s">
        <v>1124</v>
      </c>
      <c r="PI1" s="467" t="s">
        <v>1126</v>
      </c>
      <c r="PJ1" s="467" t="s">
        <v>1128</v>
      </c>
      <c r="PK1" s="467" t="s">
        <v>1130</v>
      </c>
      <c r="PL1" s="467" t="s">
        <v>1132</v>
      </c>
      <c r="PM1" s="467" t="s">
        <v>1134</v>
      </c>
      <c r="PN1" s="467" t="s">
        <v>1136</v>
      </c>
      <c r="PO1" s="467" t="s">
        <v>1138</v>
      </c>
      <c r="PP1" s="467" t="s">
        <v>1140</v>
      </c>
      <c r="PQ1" s="467" t="s">
        <v>1142</v>
      </c>
      <c r="PR1" s="467" t="s">
        <v>1144</v>
      </c>
      <c r="PS1" s="467" t="s">
        <v>1146</v>
      </c>
      <c r="PT1" s="467" t="s">
        <v>1148</v>
      </c>
      <c r="PU1" s="467" t="s">
        <v>1150</v>
      </c>
      <c r="PV1" s="467" t="s">
        <v>1152</v>
      </c>
      <c r="PW1" s="467" t="s">
        <v>1154</v>
      </c>
      <c r="PX1" s="467" t="s">
        <v>1156</v>
      </c>
      <c r="PY1" s="467" t="s">
        <v>1158</v>
      </c>
      <c r="PZ1" s="467" t="s">
        <v>353</v>
      </c>
      <c r="QA1" s="467" t="s">
        <v>1160</v>
      </c>
      <c r="QB1" s="467" t="s">
        <v>1162</v>
      </c>
      <c r="QC1" s="467" t="s">
        <v>1164</v>
      </c>
      <c r="QD1" s="467" t="s">
        <v>1166</v>
      </c>
      <c r="QE1" s="467" t="s">
        <v>1168</v>
      </c>
      <c r="QF1" s="470" t="s">
        <v>354</v>
      </c>
      <c r="QG1" s="467" t="s">
        <v>355</v>
      </c>
      <c r="QH1" s="467" t="s">
        <v>1170</v>
      </c>
      <c r="QI1" s="467" t="s">
        <v>1172</v>
      </c>
      <c r="QJ1" s="467" t="s">
        <v>1174</v>
      </c>
      <c r="QK1" s="467" t="s">
        <v>1176</v>
      </c>
      <c r="QL1" s="467" t="s">
        <v>1178</v>
      </c>
      <c r="QM1" s="467" t="s">
        <v>1180</v>
      </c>
      <c r="QN1" s="470" t="s">
        <v>356</v>
      </c>
      <c r="QO1" s="467" t="s">
        <v>1182</v>
      </c>
      <c r="QP1" s="467" t="s">
        <v>357</v>
      </c>
      <c r="QQ1" s="467" t="s">
        <v>364</v>
      </c>
      <c r="QR1" s="467" t="s">
        <v>1184</v>
      </c>
      <c r="QS1" s="467" t="s">
        <v>1186</v>
      </c>
      <c r="QT1" s="467" t="s">
        <v>1188</v>
      </c>
      <c r="QU1" s="467" t="s">
        <v>1190</v>
      </c>
      <c r="QV1" s="467" t="s">
        <v>1192</v>
      </c>
      <c r="QW1" s="467" t="s">
        <v>1194</v>
      </c>
      <c r="QX1" s="467" t="s">
        <v>1196</v>
      </c>
      <c r="QY1" s="467" t="s">
        <v>1198</v>
      </c>
      <c r="QZ1" s="467" t="s">
        <v>1200</v>
      </c>
      <c r="RA1" s="467" t="s">
        <v>1202</v>
      </c>
      <c r="RB1" s="467" t="s">
        <v>1204</v>
      </c>
      <c r="RC1" s="467" t="s">
        <v>1206</v>
      </c>
      <c r="RD1" s="467" t="s">
        <v>1208</v>
      </c>
      <c r="RE1" s="467" t="s">
        <v>1210</v>
      </c>
      <c r="RF1" s="470" t="s">
        <v>358</v>
      </c>
      <c r="RG1" s="467" t="s">
        <v>359</v>
      </c>
      <c r="RH1" s="467" t="s">
        <v>1212</v>
      </c>
      <c r="RI1" s="467" t="s">
        <v>1214</v>
      </c>
      <c r="RJ1" s="470" t="s">
        <v>360</v>
      </c>
      <c r="RK1" s="467" t="s">
        <v>361</v>
      </c>
      <c r="RL1" s="467" t="s">
        <v>1216</v>
      </c>
      <c r="RM1" s="467" t="s">
        <v>1217</v>
      </c>
      <c r="RN1" s="467" t="s">
        <v>1218</v>
      </c>
      <c r="RO1" s="467" t="s">
        <v>1219</v>
      </c>
      <c r="RP1" s="467" t="s">
        <v>1221</v>
      </c>
      <c r="RQ1" s="467" t="s">
        <v>1222</v>
      </c>
      <c r="RR1" s="467" t="s">
        <v>1224</v>
      </c>
      <c r="RS1" s="467" t="s">
        <v>1225</v>
      </c>
      <c r="RT1" s="466" t="s">
        <v>365</v>
      </c>
      <c r="RU1" s="470" t="s">
        <v>366</v>
      </c>
      <c r="RV1" s="467" t="s">
        <v>367</v>
      </c>
      <c r="RW1" s="467" t="s">
        <v>1227</v>
      </c>
      <c r="RX1" s="467" t="s">
        <v>1229</v>
      </c>
      <c r="RY1" s="467" t="s">
        <v>368</v>
      </c>
      <c r="RZ1" s="467" t="s">
        <v>1231</v>
      </c>
      <c r="SA1" s="467" t="s">
        <v>1233</v>
      </c>
      <c r="SB1" s="467" t="s">
        <v>1235</v>
      </c>
      <c r="SC1" s="467" t="s">
        <v>1237</v>
      </c>
      <c r="SD1" s="470" t="s">
        <v>369</v>
      </c>
      <c r="SE1" s="467" t="s">
        <v>370</v>
      </c>
      <c r="SF1" s="467" t="s">
        <v>1239</v>
      </c>
      <c r="SG1" s="467" t="s">
        <v>1241</v>
      </c>
      <c r="SH1" s="467" t="s">
        <v>1243</v>
      </c>
      <c r="SI1" s="467" t="s">
        <v>1245</v>
      </c>
      <c r="SJ1" s="467" t="s">
        <v>1247</v>
      </c>
      <c r="SK1" s="467" t="s">
        <v>1249</v>
      </c>
      <c r="SL1" s="467" t="s">
        <v>1251</v>
      </c>
      <c r="SM1" s="467" t="s">
        <v>1253</v>
      </c>
      <c r="SN1" s="467" t="s">
        <v>1255</v>
      </c>
      <c r="SO1" s="467" t="s">
        <v>1257</v>
      </c>
      <c r="SP1" s="467" t="s">
        <v>1259</v>
      </c>
      <c r="SQ1" s="467" t="s">
        <v>1261</v>
      </c>
      <c r="SR1" s="467" t="s">
        <v>1263</v>
      </c>
      <c r="SS1" s="467" t="s">
        <v>1265</v>
      </c>
      <c r="ST1" s="467" t="s">
        <v>1267</v>
      </c>
      <c r="SU1" s="466" t="s">
        <v>371</v>
      </c>
      <c r="SV1" s="470" t="s">
        <v>372</v>
      </c>
      <c r="SW1" s="467" t="s">
        <v>373</v>
      </c>
      <c r="SX1" s="467" t="s">
        <v>1269</v>
      </c>
      <c r="SY1" s="467" t="s">
        <v>1271</v>
      </c>
      <c r="SZ1" s="467" t="s">
        <v>1273</v>
      </c>
      <c r="TA1" s="467" t="s">
        <v>1275</v>
      </c>
      <c r="TB1" s="467" t="s">
        <v>1277</v>
      </c>
      <c r="TC1" s="467" t="s">
        <v>374</v>
      </c>
      <c r="TD1" s="467" t="s">
        <v>1279</v>
      </c>
      <c r="TE1" s="467" t="s">
        <v>1281</v>
      </c>
      <c r="TF1" s="467" t="s">
        <v>1283</v>
      </c>
      <c r="TG1" s="467" t="s">
        <v>1285</v>
      </c>
      <c r="TH1" s="467" t="s">
        <v>1287</v>
      </c>
      <c r="TI1" s="467" t="s">
        <v>1289</v>
      </c>
      <c r="TJ1" s="470" t="s">
        <v>375</v>
      </c>
      <c r="TK1" s="467" t="s">
        <v>376</v>
      </c>
      <c r="TL1" s="467" t="s">
        <v>377</v>
      </c>
      <c r="TM1" s="467" t="s">
        <v>1291</v>
      </c>
      <c r="TN1" s="467" t="s">
        <v>1293</v>
      </c>
      <c r="TO1" s="467" t="s">
        <v>1294</v>
      </c>
      <c r="TP1" s="467" t="s">
        <v>1296</v>
      </c>
      <c r="TQ1" s="467" t="s">
        <v>1298</v>
      </c>
      <c r="TR1" s="467" t="s">
        <v>1300</v>
      </c>
      <c r="TS1" s="467" t="s">
        <v>1302</v>
      </c>
      <c r="TT1" s="467" t="s">
        <v>1304</v>
      </c>
      <c r="TU1" s="467" t="s">
        <v>1306</v>
      </c>
      <c r="TV1" s="467" t="s">
        <v>1308</v>
      </c>
      <c r="TW1" s="467" t="s">
        <v>1310</v>
      </c>
      <c r="TX1" s="467" t="s">
        <v>1312</v>
      </c>
      <c r="TY1" s="467" t="s">
        <v>1314</v>
      </c>
      <c r="TZ1" s="467" t="s">
        <v>1316</v>
      </c>
      <c r="UA1" s="467" t="s">
        <v>1318</v>
      </c>
      <c r="UB1" s="467" t="s">
        <v>1320</v>
      </c>
      <c r="UC1" s="466" t="s">
        <v>1322</v>
      </c>
      <c r="UD1" s="467" t="s">
        <v>1324</v>
      </c>
      <c r="UE1" s="467" t="s">
        <v>1326</v>
      </c>
      <c r="UF1" s="467" t="s">
        <v>1328</v>
      </c>
      <c r="UG1" s="467" t="s">
        <v>1330</v>
      </c>
      <c r="UH1" s="467" t="s">
        <v>1332</v>
      </c>
      <c r="UI1" s="468"/>
    </row>
    <row r="2" spans="1:555" s="122" customFormat="1" hidden="1" x14ac:dyDescent="0.25">
      <c r="A2" s="464" t="s">
        <v>1355</v>
      </c>
      <c r="B2" s="464" t="s">
        <v>1357</v>
      </c>
      <c r="C2" s="464" t="s">
        <v>469</v>
      </c>
      <c r="D2" s="464" t="s">
        <v>1356</v>
      </c>
      <c r="E2" s="464" t="s">
        <v>1358</v>
      </c>
      <c r="F2" s="464" t="s">
        <v>470</v>
      </c>
      <c r="G2" s="465" t="s">
        <v>1359</v>
      </c>
      <c r="H2" s="464" t="s">
        <v>1360</v>
      </c>
      <c r="I2" s="464" t="s">
        <v>1361</v>
      </c>
      <c r="J2" s="464" t="s">
        <v>1443</v>
      </c>
      <c r="K2" s="464" t="s">
        <v>1362</v>
      </c>
      <c r="L2" s="464" t="s">
        <v>1363</v>
      </c>
      <c r="M2" s="464" t="s">
        <v>1364</v>
      </c>
      <c r="N2" s="464" t="s">
        <v>1365</v>
      </c>
      <c r="O2" s="464" t="s">
        <v>1366</v>
      </c>
      <c r="P2" s="464" t="s">
        <v>1468</v>
      </c>
      <c r="Q2" s="464" t="s">
        <v>1503</v>
      </c>
      <c r="R2" s="459" t="str">
        <f>+Presupuesto!D11</f>
        <v>Recurrente</v>
      </c>
      <c r="S2" s="459" t="str">
        <f>+Presupuesto!E11</f>
        <v>Programa / Proyecto 2017</v>
      </c>
      <c r="T2" s="464"/>
      <c r="U2" s="464" t="s">
        <v>392</v>
      </c>
      <c r="V2" s="464" t="s">
        <v>410</v>
      </c>
      <c r="W2" s="464" t="s">
        <v>393</v>
      </c>
      <c r="X2" s="464" t="s">
        <v>394</v>
      </c>
      <c r="Y2" s="464" t="s">
        <v>395</v>
      </c>
      <c r="Z2" s="464" t="s">
        <v>396</v>
      </c>
      <c r="AA2" s="464" t="s">
        <v>397</v>
      </c>
      <c r="AB2" s="464" t="s">
        <v>398</v>
      </c>
      <c r="AC2" s="464" t="s">
        <v>399</v>
      </c>
      <c r="AD2" s="464" t="s">
        <v>400</v>
      </c>
      <c r="AE2" s="464" t="s">
        <v>401</v>
      </c>
      <c r="AF2" s="464" t="s">
        <v>402</v>
      </c>
      <c r="AG2" s="464"/>
      <c r="AH2" s="464" t="s">
        <v>418</v>
      </c>
      <c r="AI2" s="464" t="s">
        <v>419</v>
      </c>
      <c r="AJ2" s="464" t="s">
        <v>420</v>
      </c>
      <c r="AK2" s="464" t="s">
        <v>421</v>
      </c>
      <c r="AL2" s="464" t="s">
        <v>422</v>
      </c>
      <c r="AM2" s="464" t="s">
        <v>425</v>
      </c>
      <c r="AN2" s="464" t="s">
        <v>423</v>
      </c>
      <c r="AO2" s="464" t="s">
        <v>424</v>
      </c>
      <c r="AP2" s="464" t="s">
        <v>426</v>
      </c>
      <c r="AQ2" s="464" t="s">
        <v>427</v>
      </c>
      <c r="AR2" s="464" t="s">
        <v>428</v>
      </c>
      <c r="AS2" s="464" t="s">
        <v>429</v>
      </c>
      <c r="AT2" s="464" t="s">
        <v>430</v>
      </c>
      <c r="AU2" s="464" t="s">
        <v>431</v>
      </c>
      <c r="AV2" s="464" t="s">
        <v>432</v>
      </c>
      <c r="AW2" s="464" t="s">
        <v>433</v>
      </c>
      <c r="AX2" s="464" t="s">
        <v>434</v>
      </c>
      <c r="AY2" s="464" t="s">
        <v>435</v>
      </c>
      <c r="AZ2" s="464" t="s">
        <v>436</v>
      </c>
      <c r="BA2" s="464" t="s">
        <v>437</v>
      </c>
      <c r="BB2" s="464" t="s">
        <v>438</v>
      </c>
      <c r="BC2" s="464" t="s">
        <v>439</v>
      </c>
      <c r="BD2" s="464" t="s">
        <v>440</v>
      </c>
      <c r="BE2" s="464" t="s">
        <v>441</v>
      </c>
      <c r="BF2" s="464" t="s">
        <v>442</v>
      </c>
      <c r="BG2" s="464" t="s">
        <v>443</v>
      </c>
      <c r="BH2" s="464" t="s">
        <v>444</v>
      </c>
      <c r="BI2" s="464" t="s">
        <v>445</v>
      </c>
      <c r="BJ2" s="464" t="s">
        <v>446</v>
      </c>
      <c r="BK2" s="464" t="s">
        <v>447</v>
      </c>
      <c r="BL2" s="464" t="s">
        <v>448</v>
      </c>
      <c r="BM2" s="464" t="s">
        <v>449</v>
      </c>
      <c r="BN2" s="464" t="s">
        <v>450</v>
      </c>
      <c r="BO2" s="464" t="s">
        <v>451</v>
      </c>
      <c r="BP2" s="464" t="s">
        <v>452</v>
      </c>
      <c r="BQ2" s="464" t="s">
        <v>453</v>
      </c>
      <c r="BR2" s="464" t="s">
        <v>454</v>
      </c>
      <c r="BS2" s="464" t="s">
        <v>455</v>
      </c>
      <c r="BT2" s="464" t="s">
        <v>456</v>
      </c>
      <c r="BU2" s="464" t="s">
        <v>457</v>
      </c>
      <c r="BV2" s="464"/>
      <c r="BW2" s="464"/>
      <c r="BX2" s="464"/>
      <c r="BY2" s="464"/>
      <c r="BZ2" s="464"/>
      <c r="CA2" s="464"/>
      <c r="CB2" s="464"/>
      <c r="CC2" s="464"/>
      <c r="CD2" s="464"/>
      <c r="CE2" s="464"/>
      <c r="CF2" s="464"/>
      <c r="CG2" s="464"/>
      <c r="CH2" s="464"/>
      <c r="CI2" s="464"/>
      <c r="CJ2" s="464"/>
      <c r="CK2" s="464"/>
      <c r="CL2" s="464"/>
      <c r="CM2" s="464"/>
      <c r="CN2" s="464"/>
      <c r="CO2" s="464"/>
      <c r="CP2" s="464"/>
      <c r="CQ2" s="464"/>
      <c r="CR2" s="464"/>
      <c r="CS2" s="464"/>
      <c r="CT2" s="464"/>
      <c r="CU2" s="464"/>
      <c r="CV2" s="464"/>
      <c r="CW2" s="464"/>
      <c r="CX2" s="464"/>
      <c r="CY2" s="464"/>
      <c r="CZ2" s="464"/>
      <c r="DA2" s="464"/>
      <c r="DB2" s="464"/>
      <c r="DC2" s="464"/>
      <c r="DD2" s="464"/>
      <c r="DE2" s="464"/>
      <c r="DF2" s="464"/>
      <c r="DG2" s="464"/>
      <c r="DH2" s="464"/>
      <c r="DI2" s="464"/>
      <c r="DJ2" s="464"/>
      <c r="DK2" s="464"/>
      <c r="DL2" s="464"/>
      <c r="DM2" s="464"/>
      <c r="DN2" s="464"/>
      <c r="DO2" s="464"/>
      <c r="DP2" s="464"/>
      <c r="DQ2" s="464"/>
      <c r="DR2" s="464"/>
      <c r="DS2" s="464"/>
      <c r="DT2" s="464"/>
      <c r="DU2" s="464"/>
      <c r="DV2" s="464"/>
      <c r="DW2" s="464"/>
      <c r="DX2" s="464"/>
      <c r="DY2" s="464"/>
      <c r="DZ2" s="464"/>
      <c r="EA2" s="464"/>
      <c r="EB2" s="464"/>
      <c r="EC2" s="464"/>
      <c r="ED2" s="464"/>
      <c r="EE2" s="464"/>
      <c r="EF2" s="464"/>
      <c r="EG2" s="464"/>
      <c r="EH2" s="464"/>
      <c r="EI2" s="464"/>
      <c r="EJ2" s="464"/>
      <c r="EK2" s="464"/>
      <c r="EL2" s="464"/>
      <c r="EM2" s="464"/>
      <c r="EN2" s="464"/>
      <c r="EO2" s="464"/>
      <c r="EP2" s="464"/>
      <c r="EQ2" s="464"/>
      <c r="ER2" s="464"/>
      <c r="ES2" s="464"/>
      <c r="ET2" s="464"/>
      <c r="EU2" s="464"/>
      <c r="EV2" s="464"/>
      <c r="EW2" s="464"/>
      <c r="EX2" s="464"/>
      <c r="EY2" s="464"/>
      <c r="EZ2" s="464"/>
      <c r="FA2" s="464"/>
      <c r="FB2" s="464"/>
      <c r="FC2" s="464"/>
      <c r="FD2" s="464"/>
      <c r="FE2" s="464"/>
      <c r="FF2" s="464"/>
      <c r="FG2" s="464"/>
      <c r="FH2" s="464"/>
      <c r="FI2" s="464"/>
      <c r="FJ2" s="464"/>
      <c r="FK2" s="464"/>
      <c r="FL2" s="464"/>
      <c r="FM2" s="464"/>
      <c r="FN2" s="464"/>
      <c r="FO2" s="464"/>
      <c r="FP2" s="464"/>
      <c r="FQ2" s="464"/>
      <c r="FR2" s="464"/>
      <c r="FS2" s="464"/>
      <c r="FT2" s="464"/>
      <c r="FU2" s="464"/>
      <c r="FV2" s="464"/>
      <c r="FW2" s="464"/>
      <c r="FX2" s="464"/>
      <c r="FY2" s="464"/>
      <c r="FZ2" s="464"/>
      <c r="GA2" s="464"/>
      <c r="GB2" s="464"/>
      <c r="GC2" s="464"/>
      <c r="GD2" s="464"/>
      <c r="GE2" s="464"/>
      <c r="GF2" s="464"/>
      <c r="GG2" s="464"/>
      <c r="GH2" s="464"/>
      <c r="GI2" s="464"/>
      <c r="GJ2" s="464"/>
      <c r="GK2" s="464"/>
      <c r="GL2" s="464"/>
      <c r="GM2" s="464"/>
      <c r="GN2" s="464"/>
      <c r="GO2" s="464"/>
      <c r="GP2" s="464"/>
      <c r="GQ2" s="464"/>
      <c r="GR2" s="464"/>
      <c r="GS2" s="464"/>
      <c r="GT2" s="464"/>
      <c r="GU2" s="464"/>
      <c r="GV2" s="464"/>
      <c r="GW2" s="464"/>
      <c r="GX2" s="464"/>
      <c r="GY2" s="464"/>
      <c r="GZ2" s="464"/>
      <c r="HA2" s="464"/>
      <c r="HB2" s="464"/>
      <c r="HC2" s="464"/>
      <c r="HD2" s="464"/>
      <c r="HE2" s="464"/>
      <c r="HF2" s="464"/>
      <c r="HG2" s="464"/>
      <c r="HH2" s="464"/>
      <c r="HI2" s="464"/>
      <c r="HJ2" s="464"/>
      <c r="HK2" s="464"/>
      <c r="HL2" s="464"/>
      <c r="HM2" s="464"/>
      <c r="HN2" s="464"/>
      <c r="HO2" s="464"/>
      <c r="HP2" s="464"/>
      <c r="HQ2" s="464"/>
      <c r="HR2" s="464"/>
      <c r="HS2" s="464"/>
      <c r="HT2" s="464"/>
      <c r="HU2" s="464"/>
      <c r="HV2" s="464"/>
      <c r="HW2" s="464"/>
      <c r="HX2" s="464"/>
      <c r="HY2" s="464"/>
      <c r="HZ2" s="464"/>
      <c r="IA2" s="464"/>
      <c r="IB2" s="464"/>
      <c r="IC2" s="464"/>
      <c r="ID2" s="464"/>
      <c r="IE2" s="464"/>
      <c r="IF2" s="464"/>
      <c r="IG2" s="464"/>
      <c r="IH2" s="464"/>
      <c r="II2" s="464"/>
      <c r="IJ2" s="464"/>
      <c r="IK2" s="464"/>
      <c r="IL2" s="464"/>
      <c r="IM2" s="464"/>
      <c r="IN2" s="464"/>
      <c r="IO2" s="464"/>
      <c r="IP2" s="464"/>
      <c r="IQ2" s="464"/>
      <c r="IR2" s="464"/>
      <c r="IS2" s="464"/>
      <c r="IT2" s="464"/>
      <c r="IU2" s="464"/>
      <c r="IV2" s="464"/>
      <c r="IW2" s="464"/>
      <c r="IX2" s="464"/>
      <c r="IY2" s="464"/>
      <c r="IZ2" s="464"/>
      <c r="JA2" s="464"/>
      <c r="JB2" s="464"/>
      <c r="JC2" s="464"/>
      <c r="JD2" s="464"/>
      <c r="JE2" s="464"/>
      <c r="JF2" s="464"/>
      <c r="JG2" s="464"/>
      <c r="JH2" s="464"/>
      <c r="JI2" s="464"/>
      <c r="JJ2" s="464"/>
      <c r="JK2" s="464"/>
      <c r="JL2" s="464"/>
      <c r="JM2" s="464"/>
      <c r="JN2" s="464"/>
      <c r="JO2" s="464"/>
      <c r="JP2" s="464"/>
      <c r="JQ2" s="464"/>
      <c r="JR2" s="464"/>
      <c r="JS2" s="464"/>
      <c r="JT2" s="464"/>
      <c r="JU2" s="464"/>
      <c r="JV2" s="464"/>
      <c r="JW2" s="464"/>
      <c r="JX2" s="464"/>
      <c r="JY2" s="464"/>
      <c r="JZ2" s="464"/>
      <c r="KA2" s="464"/>
      <c r="KB2" s="464"/>
      <c r="KC2" s="464"/>
      <c r="KD2" s="464"/>
      <c r="KE2" s="464"/>
      <c r="KF2" s="464"/>
      <c r="KG2" s="464"/>
      <c r="KH2" s="464"/>
      <c r="KI2" s="464"/>
      <c r="KJ2" s="464"/>
      <c r="KK2" s="464"/>
      <c r="KL2" s="464"/>
      <c r="KM2" s="464"/>
      <c r="KN2" s="464"/>
      <c r="KO2" s="464"/>
      <c r="KP2" s="464"/>
      <c r="KQ2" s="464"/>
      <c r="KR2" s="464"/>
      <c r="KS2" s="464"/>
      <c r="KT2" s="464"/>
      <c r="KU2" s="464"/>
      <c r="KV2" s="464"/>
      <c r="KW2" s="464"/>
      <c r="KX2" s="464"/>
      <c r="KY2" s="464"/>
      <c r="KZ2" s="464"/>
      <c r="LA2" s="464"/>
      <c r="LB2" s="464"/>
      <c r="LC2" s="464"/>
      <c r="LD2" s="464"/>
      <c r="LE2" s="464"/>
      <c r="LF2" s="464"/>
      <c r="LG2" s="464"/>
      <c r="LH2" s="464"/>
      <c r="LI2" s="464"/>
      <c r="LJ2" s="464"/>
      <c r="LK2" s="464"/>
      <c r="LL2" s="464"/>
      <c r="LM2" s="464"/>
      <c r="LN2" s="464"/>
      <c r="LO2" s="464"/>
      <c r="LP2" s="464"/>
      <c r="LQ2" s="464"/>
      <c r="LR2" s="464"/>
      <c r="LS2" s="464"/>
      <c r="LT2" s="464"/>
      <c r="LU2" s="464"/>
      <c r="LV2" s="464"/>
      <c r="LW2" s="464"/>
      <c r="LX2" s="464"/>
      <c r="LY2" s="464"/>
      <c r="LZ2" s="464"/>
      <c r="MA2" s="464"/>
      <c r="MB2" s="464"/>
      <c r="MC2" s="464"/>
      <c r="MD2" s="464"/>
      <c r="ME2" s="464"/>
      <c r="MF2" s="464"/>
      <c r="MG2" s="464"/>
      <c r="MH2" s="464"/>
      <c r="MI2" s="464"/>
      <c r="MJ2" s="464"/>
      <c r="MK2" s="464"/>
      <c r="ML2" s="464"/>
      <c r="MM2" s="464"/>
      <c r="MN2" s="464"/>
      <c r="MO2" s="464"/>
      <c r="MP2" s="464"/>
      <c r="MQ2" s="464"/>
      <c r="MR2" s="464"/>
      <c r="MS2" s="464"/>
      <c r="MT2" s="464"/>
      <c r="MU2" s="464"/>
      <c r="MV2" s="464"/>
      <c r="MW2" s="464"/>
      <c r="MX2" s="464"/>
      <c r="MY2" s="464"/>
      <c r="MZ2" s="464"/>
      <c r="NA2" s="464"/>
      <c r="NB2" s="464"/>
      <c r="NC2" s="464"/>
      <c r="ND2" s="464"/>
      <c r="NE2" s="464"/>
      <c r="NF2" s="464"/>
      <c r="NG2" s="464"/>
      <c r="NH2" s="464"/>
      <c r="NI2" s="464"/>
      <c r="NJ2" s="464"/>
      <c r="NK2" s="464"/>
      <c r="NL2" s="464"/>
      <c r="NM2" s="464"/>
      <c r="NN2" s="464"/>
      <c r="NO2" s="464"/>
      <c r="NP2" s="464"/>
      <c r="NQ2" s="464"/>
      <c r="NR2" s="464"/>
      <c r="NS2" s="464"/>
      <c r="NT2" s="464"/>
      <c r="NU2" s="464"/>
      <c r="NV2" s="464"/>
      <c r="NW2" s="464"/>
      <c r="NX2" s="464"/>
      <c r="NY2" s="464"/>
      <c r="NZ2" s="464"/>
      <c r="OA2" s="464"/>
      <c r="OB2" s="464"/>
      <c r="OC2" s="464"/>
      <c r="OD2" s="464"/>
      <c r="OE2" s="464"/>
      <c r="OF2" s="464"/>
      <c r="OG2" s="464"/>
      <c r="OH2" s="464"/>
      <c r="OI2" s="464"/>
      <c r="OJ2" s="464"/>
      <c r="OK2" s="464"/>
      <c r="OL2" s="464"/>
      <c r="OM2" s="464"/>
      <c r="ON2" s="464"/>
      <c r="OO2" s="464"/>
      <c r="OP2" s="464"/>
      <c r="OQ2" s="464"/>
      <c r="OR2" s="464"/>
      <c r="OS2" s="464"/>
      <c r="OT2" s="464"/>
      <c r="OU2" s="464"/>
      <c r="OV2" s="464"/>
      <c r="OW2" s="464"/>
      <c r="OX2" s="464"/>
      <c r="OY2" s="464"/>
      <c r="OZ2" s="464"/>
      <c r="PA2" s="464"/>
      <c r="PB2" s="464"/>
      <c r="PC2" s="464"/>
      <c r="PD2" s="464"/>
      <c r="PE2" s="464"/>
      <c r="PF2" s="464"/>
      <c r="PG2" s="464"/>
      <c r="PH2" s="464"/>
      <c r="PI2" s="464"/>
      <c r="PJ2" s="464"/>
      <c r="PK2" s="464"/>
      <c r="PL2" s="464"/>
      <c r="PM2" s="464"/>
      <c r="PN2" s="464"/>
      <c r="PO2" s="464"/>
      <c r="PP2" s="464"/>
      <c r="PQ2" s="464"/>
      <c r="PR2" s="464"/>
      <c r="PS2" s="464"/>
      <c r="PT2" s="464"/>
      <c r="PU2" s="464"/>
      <c r="PV2" s="464"/>
      <c r="PW2" s="464"/>
      <c r="PX2" s="464"/>
      <c r="PY2" s="464"/>
      <c r="PZ2" s="464"/>
      <c r="QA2" s="464"/>
      <c r="QB2" s="464"/>
      <c r="QC2" s="464"/>
      <c r="QD2" s="464"/>
      <c r="QE2" s="464"/>
      <c r="QF2" s="464"/>
      <c r="QG2" s="464"/>
      <c r="QH2" s="464"/>
      <c r="QI2" s="464"/>
      <c r="QJ2" s="464"/>
      <c r="QK2" s="464"/>
      <c r="QL2" s="464"/>
      <c r="QM2" s="464"/>
      <c r="QN2" s="464"/>
      <c r="QO2" s="464"/>
      <c r="QP2" s="464"/>
      <c r="QQ2" s="464"/>
      <c r="QR2" s="464"/>
      <c r="QS2" s="464"/>
      <c r="QT2" s="464"/>
      <c r="QU2" s="464"/>
      <c r="QV2" s="464"/>
      <c r="QW2" s="464"/>
      <c r="QX2" s="464"/>
      <c r="QY2" s="464"/>
      <c r="QZ2" s="464"/>
      <c r="RA2" s="464"/>
      <c r="RB2" s="464"/>
      <c r="RC2" s="464"/>
      <c r="RD2" s="464"/>
      <c r="RE2" s="464"/>
      <c r="RF2" s="464"/>
      <c r="RG2" s="464"/>
      <c r="RH2" s="464"/>
      <c r="RI2" s="464"/>
      <c r="RJ2" s="464"/>
      <c r="RK2" s="464"/>
      <c r="RL2" s="464"/>
      <c r="RM2" s="464"/>
      <c r="RN2" s="464"/>
      <c r="RO2" s="464"/>
      <c r="RP2" s="464"/>
      <c r="RQ2" s="464"/>
      <c r="RR2" s="464"/>
      <c r="RS2" s="464"/>
      <c r="RT2" s="464"/>
      <c r="RU2" s="464"/>
      <c r="RV2" s="464"/>
      <c r="RW2" s="464"/>
      <c r="RX2" s="464"/>
      <c r="RY2" s="464"/>
      <c r="RZ2" s="464"/>
      <c r="SA2" s="464"/>
      <c r="SB2" s="464"/>
      <c r="SC2" s="464"/>
      <c r="SD2" s="464"/>
      <c r="SE2" s="464"/>
      <c r="SF2" s="464"/>
      <c r="SG2" s="464"/>
      <c r="SH2" s="464"/>
      <c r="SI2" s="464"/>
      <c r="SJ2" s="464"/>
      <c r="SK2" s="464"/>
      <c r="SL2" s="464"/>
      <c r="SM2" s="464"/>
      <c r="SN2" s="464"/>
      <c r="SO2" s="464"/>
      <c r="SP2" s="464"/>
      <c r="SQ2" s="464"/>
      <c r="SR2" s="464"/>
      <c r="SS2" s="464"/>
      <c r="ST2" s="464"/>
      <c r="SU2" s="464"/>
      <c r="SV2" s="464"/>
      <c r="SW2" s="464"/>
      <c r="SX2" s="464"/>
      <c r="SY2" s="464"/>
      <c r="SZ2" s="464"/>
      <c r="TA2" s="464"/>
      <c r="TB2" s="464"/>
      <c r="TC2" s="464"/>
      <c r="TD2" s="464"/>
      <c r="TE2" s="464"/>
      <c r="TF2" s="464"/>
      <c r="TG2" s="464"/>
      <c r="TH2" s="464"/>
      <c r="TI2" s="464"/>
      <c r="TJ2" s="464"/>
      <c r="TK2" s="464"/>
      <c r="TL2" s="464"/>
      <c r="TM2" s="464"/>
      <c r="TN2" s="464"/>
      <c r="TO2" s="464"/>
      <c r="TP2" s="464"/>
      <c r="TQ2" s="464"/>
      <c r="TR2" s="464"/>
      <c r="TS2" s="464"/>
      <c r="TT2" s="464"/>
      <c r="TU2" s="464"/>
      <c r="TV2" s="464"/>
      <c r="TW2" s="464"/>
      <c r="TX2" s="464"/>
      <c r="TY2" s="464"/>
      <c r="TZ2" s="464"/>
      <c r="UA2" s="464"/>
      <c r="UB2" s="464"/>
      <c r="UC2" s="464"/>
      <c r="UD2" s="464"/>
      <c r="UE2" s="464"/>
      <c r="UF2" s="464"/>
      <c r="UG2" s="464"/>
      <c r="UH2" s="464"/>
      <c r="UI2" s="464"/>
    </row>
    <row r="3" spans="1:555" s="122" customFormat="1" hidden="1" x14ac:dyDescent="0.25">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3">
        <v>2500</v>
      </c>
      <c r="AI3" s="463">
        <v>1900</v>
      </c>
      <c r="AJ3" s="463">
        <v>1650</v>
      </c>
      <c r="AK3" s="463">
        <v>1580</v>
      </c>
      <c r="AL3" s="463">
        <v>2250</v>
      </c>
      <c r="AM3" s="463">
        <v>1650</v>
      </c>
      <c r="AN3" s="463">
        <v>1400</v>
      </c>
      <c r="AO3" s="463">
        <v>1340</v>
      </c>
      <c r="AP3" s="463">
        <v>2000</v>
      </c>
      <c r="AQ3" s="463">
        <v>1400</v>
      </c>
      <c r="AR3" s="463">
        <v>1150</v>
      </c>
      <c r="AS3" s="463">
        <v>1100</v>
      </c>
      <c r="AT3" s="463">
        <v>1750</v>
      </c>
      <c r="AU3" s="463">
        <v>1150</v>
      </c>
      <c r="AV3" s="463">
        <v>900</v>
      </c>
      <c r="AW3" s="463">
        <v>860</v>
      </c>
      <c r="AX3" s="463">
        <v>1200</v>
      </c>
      <c r="AY3" s="463">
        <v>900</v>
      </c>
      <c r="AZ3" s="463">
        <v>650</v>
      </c>
      <c r="BA3" s="463">
        <v>620</v>
      </c>
      <c r="BB3" s="461">
        <f>+'Cuadro Resumen'!C213</f>
        <v>5759.1495000000004</v>
      </c>
      <c r="BC3" s="461">
        <f>+'Cuadro Resumen'!D213</f>
        <v>5307.4515000000001</v>
      </c>
      <c r="BD3" s="461">
        <f>+'Cuadro Resumen'!E213</f>
        <v>6775.47</v>
      </c>
      <c r="BE3" s="461">
        <f>+'Cuadro Resumen'!F213</f>
        <v>6323.7719999999999</v>
      </c>
      <c r="BF3" s="461">
        <f>+'Cuadro Resumen'!C214</f>
        <v>5081.6025</v>
      </c>
      <c r="BG3" s="461">
        <f>+'Cuadro Resumen'!D214</f>
        <v>4629.9045000000006</v>
      </c>
      <c r="BH3" s="461">
        <f>+'Cuadro Resumen'!E214</f>
        <v>6097.9230000000007</v>
      </c>
      <c r="BI3" s="461">
        <f>+'Cuadro Resumen'!F214</f>
        <v>5646.2250000000004</v>
      </c>
      <c r="BJ3" s="461">
        <f>+'Cuadro Resumen'!C215</f>
        <v>4404.0555000000004</v>
      </c>
      <c r="BK3" s="461">
        <f>+'Cuadro Resumen'!D215</f>
        <v>4065.2820000000002</v>
      </c>
      <c r="BL3" s="461">
        <f>+'Cuadro Resumen'!E215</f>
        <v>5420.3760000000002</v>
      </c>
      <c r="BM3" s="461">
        <f>+'Cuadro Resumen'!F215</f>
        <v>4968.6779999999999</v>
      </c>
      <c r="BN3" s="461">
        <f>+'Cuadro Resumen'!C216</f>
        <v>3726.5085000000004</v>
      </c>
      <c r="BO3" s="461">
        <f>+'Cuadro Resumen'!D216</f>
        <v>3387.7350000000001</v>
      </c>
      <c r="BP3" s="461">
        <f>+'Cuadro Resumen'!E216</f>
        <v>4742.8290000000006</v>
      </c>
      <c r="BQ3" s="461">
        <f>+'Cuadro Resumen'!F216</f>
        <v>4404.0555000000004</v>
      </c>
      <c r="BR3" s="461">
        <f>+'Cuadro Resumen'!C217</f>
        <v>3274.8105</v>
      </c>
      <c r="BS3" s="461">
        <f>+'Cuadro Resumen'!D217</f>
        <v>3048.9615000000003</v>
      </c>
      <c r="BT3" s="461">
        <f>+'Cuadro Resumen'!E217</f>
        <v>4178.2065000000002</v>
      </c>
      <c r="BU3" s="461">
        <f>+'Cuadro Resumen'!F217</f>
        <v>3839.433</v>
      </c>
      <c r="BV3" s="462"/>
      <c r="BW3" s="462"/>
      <c r="BX3" s="462"/>
      <c r="BY3" s="462"/>
      <c r="BZ3" s="462"/>
      <c r="CA3" s="462"/>
      <c r="CB3" s="462"/>
      <c r="CC3" s="462"/>
      <c r="CD3" s="462"/>
      <c r="CE3" s="462"/>
      <c r="CF3" s="462"/>
      <c r="CG3" s="462"/>
      <c r="CH3" s="462"/>
      <c r="CI3" s="462"/>
      <c r="CJ3" s="462"/>
      <c r="CK3" s="462"/>
      <c r="CL3" s="462"/>
      <c r="CM3" s="462"/>
      <c r="CN3" s="462"/>
      <c r="CO3" s="462"/>
      <c r="CP3" s="462"/>
      <c r="CQ3" s="462"/>
      <c r="CR3" s="462"/>
      <c r="CS3" s="462"/>
      <c r="CT3" s="462"/>
      <c r="CU3" s="462"/>
      <c r="CV3" s="462"/>
      <c r="CW3" s="462"/>
      <c r="CX3" s="462"/>
      <c r="CY3" s="462"/>
      <c r="CZ3" s="462"/>
      <c r="DA3" s="462"/>
      <c r="DB3" s="462"/>
      <c r="DC3" s="462"/>
      <c r="DD3" s="462"/>
      <c r="DE3" s="462"/>
      <c r="DF3" s="462"/>
      <c r="DG3" s="462"/>
      <c r="DH3" s="462"/>
      <c r="DI3" s="462"/>
      <c r="DJ3" s="462"/>
      <c r="DK3" s="462"/>
      <c r="DL3" s="462"/>
      <c r="DM3" s="462"/>
      <c r="DN3" s="462"/>
      <c r="DO3" s="462"/>
      <c r="DP3" s="462"/>
      <c r="DQ3" s="462"/>
      <c r="DR3" s="462"/>
      <c r="DS3" s="462"/>
      <c r="DT3" s="462"/>
      <c r="DU3" s="462"/>
      <c r="DV3" s="462"/>
      <c r="DW3" s="462"/>
      <c r="DX3" s="462"/>
      <c r="DY3" s="462"/>
      <c r="DZ3" s="462"/>
      <c r="EA3" s="462"/>
      <c r="EB3" s="462"/>
      <c r="EC3" s="462"/>
      <c r="ED3" s="462"/>
      <c r="EE3" s="462"/>
      <c r="EF3" s="462"/>
      <c r="EG3" s="462"/>
      <c r="EH3" s="462"/>
      <c r="EI3" s="462"/>
      <c r="EJ3" s="462"/>
      <c r="EK3" s="462"/>
      <c r="EL3" s="462"/>
      <c r="EM3" s="462"/>
      <c r="EN3" s="462"/>
      <c r="EO3" s="462"/>
      <c r="EP3" s="462"/>
      <c r="EQ3" s="462"/>
      <c r="ER3" s="462"/>
      <c r="ES3" s="462"/>
      <c r="ET3" s="462"/>
      <c r="EU3" s="462"/>
      <c r="EV3" s="462"/>
      <c r="EW3" s="462"/>
      <c r="EX3" s="462"/>
      <c r="EY3" s="462"/>
      <c r="EZ3" s="462"/>
      <c r="FA3" s="462"/>
      <c r="FB3" s="462"/>
      <c r="FC3" s="462"/>
      <c r="FD3" s="462"/>
      <c r="FE3" s="462"/>
      <c r="FF3" s="462"/>
      <c r="FG3" s="462"/>
      <c r="FH3" s="462"/>
      <c r="FI3" s="462"/>
      <c r="FJ3" s="462"/>
      <c r="FK3" s="462"/>
      <c r="FL3" s="462"/>
      <c r="FM3" s="462"/>
      <c r="FN3" s="462"/>
      <c r="FO3" s="462"/>
      <c r="FP3" s="462"/>
      <c r="FQ3" s="462"/>
      <c r="FR3" s="462"/>
      <c r="FS3" s="462"/>
      <c r="FT3" s="462"/>
      <c r="FU3" s="462"/>
      <c r="FV3" s="462"/>
      <c r="FW3" s="462"/>
      <c r="FX3" s="462"/>
      <c r="FY3" s="462"/>
      <c r="FZ3" s="462"/>
      <c r="GA3" s="462"/>
      <c r="GB3" s="462"/>
      <c r="GC3" s="462"/>
      <c r="GD3" s="462"/>
      <c r="GE3" s="462"/>
      <c r="GF3" s="462"/>
      <c r="GG3" s="462"/>
      <c r="GH3" s="462"/>
      <c r="GI3" s="462"/>
      <c r="GJ3" s="462"/>
      <c r="GK3" s="462"/>
      <c r="GL3" s="462"/>
      <c r="GM3" s="462"/>
      <c r="GN3" s="462"/>
      <c r="GO3" s="462"/>
      <c r="GP3" s="462"/>
      <c r="GQ3" s="462"/>
      <c r="GR3" s="462"/>
      <c r="GS3" s="462"/>
      <c r="GT3" s="462"/>
      <c r="GU3" s="462"/>
      <c r="GV3" s="462"/>
      <c r="GW3" s="462"/>
      <c r="GX3" s="462"/>
      <c r="GY3" s="462"/>
      <c r="GZ3" s="462"/>
      <c r="HA3" s="462"/>
      <c r="HB3" s="462"/>
      <c r="HC3" s="462"/>
      <c r="HD3" s="462"/>
      <c r="HE3" s="462"/>
      <c r="HF3" s="462"/>
      <c r="HG3" s="462"/>
      <c r="HH3" s="462"/>
      <c r="HI3" s="462"/>
      <c r="HJ3" s="462"/>
      <c r="HK3" s="462"/>
      <c r="HL3" s="462"/>
      <c r="HM3" s="462"/>
      <c r="HN3" s="462"/>
      <c r="HO3" s="462"/>
      <c r="HP3" s="462"/>
      <c r="HQ3" s="462"/>
      <c r="HR3" s="462"/>
      <c r="HS3" s="462"/>
      <c r="HT3" s="462"/>
      <c r="HU3" s="462"/>
      <c r="HV3" s="462"/>
      <c r="HW3" s="462"/>
      <c r="HX3" s="462"/>
      <c r="HY3" s="462"/>
      <c r="HZ3" s="462"/>
      <c r="IA3" s="462"/>
      <c r="IB3" s="462"/>
      <c r="IC3" s="462"/>
      <c r="ID3" s="462"/>
      <c r="IE3" s="462"/>
      <c r="IF3" s="462"/>
      <c r="IG3" s="462"/>
      <c r="IH3" s="462"/>
      <c r="II3" s="462"/>
      <c r="IJ3" s="462"/>
      <c r="IK3" s="462"/>
      <c r="IL3" s="462"/>
      <c r="IM3" s="462"/>
      <c r="IN3" s="462"/>
      <c r="IO3" s="462"/>
      <c r="IP3" s="462"/>
      <c r="IQ3" s="462"/>
      <c r="IR3" s="462"/>
      <c r="IS3" s="462"/>
      <c r="IT3" s="462"/>
      <c r="IU3" s="462"/>
      <c r="IV3" s="462"/>
      <c r="IW3" s="462"/>
      <c r="IX3" s="462"/>
      <c r="IY3" s="462"/>
      <c r="IZ3" s="462"/>
      <c r="JA3" s="462"/>
      <c r="JB3" s="462"/>
      <c r="JC3" s="462"/>
      <c r="JD3" s="462"/>
      <c r="JE3" s="462"/>
      <c r="JF3" s="462"/>
      <c r="JG3" s="462"/>
      <c r="JH3" s="462"/>
      <c r="JI3" s="462"/>
      <c r="JJ3" s="462"/>
      <c r="JK3" s="462"/>
      <c r="JL3" s="462"/>
      <c r="JM3" s="462"/>
      <c r="JN3" s="462"/>
      <c r="JO3" s="462"/>
      <c r="JP3" s="462"/>
      <c r="JQ3" s="462"/>
      <c r="JR3" s="462"/>
      <c r="JS3" s="462"/>
      <c r="JT3" s="462"/>
      <c r="JU3" s="462"/>
      <c r="JV3" s="462"/>
      <c r="JW3" s="462"/>
      <c r="JX3" s="462"/>
      <c r="JY3" s="462"/>
      <c r="JZ3" s="462"/>
      <c r="KA3" s="462"/>
      <c r="KB3" s="462"/>
      <c r="KC3" s="462"/>
      <c r="KD3" s="462"/>
      <c r="KE3" s="462"/>
      <c r="KF3" s="462"/>
      <c r="KG3" s="462"/>
      <c r="KH3" s="462"/>
      <c r="KI3" s="462"/>
      <c r="KJ3" s="462"/>
      <c r="KK3" s="462"/>
      <c r="KL3" s="462"/>
      <c r="KM3" s="462"/>
      <c r="KN3" s="462"/>
      <c r="KO3" s="462"/>
      <c r="KP3" s="462"/>
      <c r="KQ3" s="462"/>
      <c r="KR3" s="462"/>
      <c r="KS3" s="462"/>
      <c r="KT3" s="462"/>
      <c r="KU3" s="462"/>
      <c r="KV3" s="462"/>
      <c r="KW3" s="462"/>
      <c r="KX3" s="462"/>
      <c r="KY3" s="462"/>
      <c r="KZ3" s="462"/>
      <c r="LA3" s="462"/>
      <c r="LB3" s="462"/>
      <c r="LC3" s="462"/>
      <c r="LD3" s="462"/>
      <c r="LE3" s="462"/>
      <c r="LF3" s="462"/>
      <c r="LG3" s="462"/>
      <c r="LH3" s="462"/>
      <c r="LI3" s="462"/>
      <c r="LJ3" s="462"/>
      <c r="LK3" s="462"/>
      <c r="LL3" s="462"/>
      <c r="LM3" s="462"/>
      <c r="LN3" s="462"/>
      <c r="LO3" s="462"/>
      <c r="LP3" s="462"/>
      <c r="LQ3" s="462"/>
      <c r="LR3" s="462"/>
      <c r="LS3" s="462"/>
      <c r="LT3" s="462"/>
      <c r="LU3" s="462"/>
      <c r="LV3" s="462"/>
      <c r="LW3" s="462"/>
      <c r="LX3" s="462"/>
      <c r="LY3" s="462"/>
      <c r="LZ3" s="462"/>
      <c r="MA3" s="462"/>
      <c r="MB3" s="462"/>
      <c r="MC3" s="462"/>
      <c r="MD3" s="462"/>
      <c r="ME3" s="462"/>
      <c r="MF3" s="462"/>
      <c r="MG3" s="462"/>
      <c r="MH3" s="462"/>
      <c r="MI3" s="462"/>
      <c r="MJ3" s="462"/>
      <c r="MK3" s="462"/>
      <c r="ML3" s="462"/>
      <c r="MM3" s="462"/>
      <c r="MN3" s="462"/>
      <c r="MO3" s="462"/>
      <c r="MP3" s="462"/>
      <c r="MQ3" s="462"/>
      <c r="MR3" s="462"/>
      <c r="MS3" s="462"/>
      <c r="MT3" s="462"/>
      <c r="MU3" s="462"/>
      <c r="MV3" s="462"/>
      <c r="MW3" s="462"/>
      <c r="MX3" s="462"/>
      <c r="MY3" s="462"/>
      <c r="MZ3" s="462"/>
      <c r="NA3" s="462"/>
      <c r="NB3" s="462"/>
      <c r="NC3" s="462"/>
      <c r="ND3" s="462"/>
      <c r="NE3" s="462"/>
      <c r="NF3" s="462"/>
      <c r="NG3" s="462"/>
      <c r="NH3" s="462"/>
      <c r="NI3" s="462"/>
      <c r="NJ3" s="462"/>
      <c r="NK3" s="462"/>
      <c r="NL3" s="462"/>
      <c r="NM3" s="462"/>
      <c r="NN3" s="462"/>
      <c r="NO3" s="462"/>
      <c r="NP3" s="462"/>
      <c r="NQ3" s="462"/>
      <c r="NR3" s="462"/>
      <c r="NS3" s="462"/>
      <c r="NT3" s="462"/>
      <c r="NU3" s="462"/>
      <c r="NV3" s="462"/>
      <c r="NW3" s="462"/>
      <c r="NX3" s="462"/>
      <c r="NY3" s="462"/>
      <c r="NZ3" s="462"/>
      <c r="OA3" s="462"/>
      <c r="OB3" s="462"/>
      <c r="OC3" s="462"/>
      <c r="OD3" s="462"/>
      <c r="OE3" s="462"/>
      <c r="OF3" s="462"/>
      <c r="OG3" s="462"/>
      <c r="OH3" s="462"/>
      <c r="OI3" s="462"/>
      <c r="OJ3" s="462"/>
      <c r="OK3" s="462"/>
      <c r="OL3" s="462"/>
      <c r="OM3" s="462"/>
      <c r="ON3" s="462"/>
      <c r="OO3" s="462"/>
      <c r="OP3" s="462"/>
      <c r="OQ3" s="462"/>
      <c r="OR3" s="462"/>
      <c r="OS3" s="462"/>
      <c r="OT3" s="462"/>
      <c r="OU3" s="462"/>
      <c r="OV3" s="462"/>
      <c r="OW3" s="462"/>
      <c r="OX3" s="462"/>
      <c r="OY3" s="462"/>
      <c r="OZ3" s="462"/>
      <c r="PA3" s="462"/>
      <c r="PB3" s="462"/>
      <c r="PC3" s="462"/>
      <c r="PD3" s="462"/>
      <c r="PE3" s="462"/>
      <c r="PF3" s="462"/>
      <c r="PG3" s="462"/>
      <c r="PH3" s="462"/>
      <c r="PI3" s="462"/>
      <c r="PJ3" s="462"/>
      <c r="PK3" s="462"/>
      <c r="PL3" s="462"/>
      <c r="PM3" s="462"/>
      <c r="PN3" s="462"/>
      <c r="PO3" s="462"/>
      <c r="PP3" s="462"/>
      <c r="PQ3" s="462"/>
      <c r="PR3" s="462"/>
      <c r="PS3" s="462"/>
      <c r="PT3" s="462"/>
      <c r="PU3" s="462"/>
      <c r="PV3" s="462"/>
      <c r="PW3" s="462"/>
      <c r="PX3" s="462"/>
      <c r="PY3" s="462"/>
      <c r="PZ3" s="462"/>
      <c r="QA3" s="462"/>
      <c r="QB3" s="462"/>
      <c r="QC3" s="462"/>
      <c r="QD3" s="462"/>
      <c r="QE3" s="462"/>
      <c r="QF3" s="462"/>
      <c r="QG3" s="462"/>
      <c r="QH3" s="462"/>
      <c r="QI3" s="462"/>
      <c r="QJ3" s="462"/>
      <c r="QK3" s="462"/>
      <c r="QL3" s="462"/>
      <c r="QM3" s="462"/>
      <c r="QN3" s="462"/>
      <c r="QO3" s="462"/>
      <c r="QP3" s="462"/>
      <c r="QQ3" s="462"/>
      <c r="QR3" s="462"/>
      <c r="QS3" s="462"/>
      <c r="QT3" s="462"/>
      <c r="QU3" s="462"/>
      <c r="QV3" s="462"/>
      <c r="QW3" s="462"/>
      <c r="QX3" s="462"/>
      <c r="QY3" s="462"/>
      <c r="QZ3" s="462"/>
      <c r="RA3" s="462"/>
      <c r="RB3" s="462"/>
      <c r="RC3" s="462"/>
      <c r="RD3" s="462"/>
      <c r="RE3" s="462"/>
      <c r="RF3" s="462"/>
      <c r="RG3" s="462"/>
      <c r="RH3" s="462"/>
      <c r="RI3" s="462"/>
      <c r="RJ3" s="462"/>
      <c r="RK3" s="462"/>
      <c r="RL3" s="462"/>
      <c r="RM3" s="462"/>
      <c r="RN3" s="462"/>
      <c r="RO3" s="462"/>
      <c r="RP3" s="462"/>
      <c r="RQ3" s="462"/>
      <c r="RR3" s="462"/>
      <c r="RS3" s="462"/>
      <c r="RT3" s="462"/>
      <c r="RU3" s="462"/>
      <c r="RV3" s="462"/>
      <c r="RW3" s="462"/>
      <c r="RX3" s="462"/>
      <c r="RY3" s="462"/>
      <c r="RZ3" s="462"/>
      <c r="SA3" s="462"/>
      <c r="SB3" s="462"/>
      <c r="SC3" s="462"/>
      <c r="SD3" s="462"/>
      <c r="SE3" s="462"/>
      <c r="SF3" s="462"/>
      <c r="SG3" s="462"/>
      <c r="SH3" s="462"/>
      <c r="SI3" s="462"/>
      <c r="SJ3" s="462"/>
      <c r="SK3" s="462"/>
      <c r="SL3" s="462"/>
      <c r="SM3" s="462"/>
      <c r="SN3" s="462"/>
      <c r="SO3" s="462"/>
      <c r="SP3" s="462"/>
      <c r="SQ3" s="462"/>
      <c r="SR3" s="462"/>
      <c r="SS3" s="462"/>
      <c r="ST3" s="462"/>
      <c r="SU3" s="462"/>
      <c r="SV3" s="462"/>
      <c r="SW3" s="462"/>
      <c r="SX3" s="462"/>
      <c r="SY3" s="462"/>
      <c r="SZ3" s="462"/>
      <c r="TA3" s="462"/>
      <c r="TB3" s="462"/>
      <c r="TC3" s="462"/>
      <c r="TD3" s="462"/>
      <c r="TE3" s="462"/>
      <c r="TF3" s="462"/>
      <c r="TG3" s="462"/>
      <c r="TH3" s="462"/>
      <c r="TI3" s="462"/>
      <c r="TJ3" s="462"/>
      <c r="TK3" s="462"/>
      <c r="TL3" s="462"/>
      <c r="TM3" s="462"/>
      <c r="TN3" s="462"/>
      <c r="TO3" s="462"/>
      <c r="TP3" s="462"/>
      <c r="TQ3" s="462"/>
      <c r="TR3" s="462"/>
      <c r="TS3" s="462"/>
      <c r="TT3" s="462"/>
      <c r="TU3" s="462"/>
      <c r="TV3" s="462"/>
      <c r="TW3" s="462"/>
      <c r="TX3" s="462"/>
      <c r="TY3" s="462"/>
      <c r="TZ3" s="462"/>
      <c r="UA3" s="462"/>
      <c r="UB3" s="462"/>
      <c r="UC3" s="462"/>
      <c r="UD3" s="462"/>
      <c r="UE3" s="462"/>
      <c r="UF3" s="462"/>
      <c r="UG3" s="462"/>
      <c r="UH3" s="462"/>
      <c r="UI3" s="462"/>
    </row>
    <row r="4" spans="1:555" ht="15.75" thickBot="1" x14ac:dyDescent="0.3"/>
    <row r="5" spans="1:555" ht="27" thickBot="1" x14ac:dyDescent="0.3">
      <c r="C5" s="87" t="s">
        <v>383</v>
      </c>
      <c r="D5" s="198">
        <f>SUMIF(C:C,$C$10,D:D)</f>
        <v>2343076.6112500001</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2">
        <f>SUM(F17:F24)</f>
        <v>23750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390</v>
      </c>
      <c r="D13" s="368" t="str">
        <f>'17. Gestión TIC'!F11</f>
        <v>4.1.1</v>
      </c>
      <c r="E13" s="93"/>
      <c r="F13" s="93"/>
      <c r="G13" s="93"/>
      <c r="H13" s="76"/>
      <c r="I13" s="76"/>
      <c r="J13" s="76"/>
      <c r="K13" s="112"/>
    </row>
    <row r="14" spans="1:555" ht="18.75" x14ac:dyDescent="0.2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Proceso...'!$G:$H,2,FALSE),IFERROR(VLOOKUP(D13,'12.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U.'!$G:$H,2,0)))))))))))))))))</f>
        <v>4.1.1 a) Capacitar a los empleados del Comisionado Universitario en UNAH-VS y CURLA sobre el uso y manejo del Programa de Docuware</v>
      </c>
      <c r="D14" s="31"/>
      <c r="E14" s="93"/>
      <c r="F14" s="93"/>
      <c r="G14" s="93"/>
      <c r="H14" s="76"/>
      <c r="I14" s="76"/>
      <c r="J14" s="76"/>
      <c r="K14" s="112"/>
    </row>
    <row r="15" spans="1:555" ht="15.75" thickBot="1" x14ac:dyDescent="0.3">
      <c r="F15" s="93"/>
      <c r="G15" s="76"/>
      <c r="H15" s="76"/>
      <c r="I15" s="76"/>
    </row>
    <row r="16" spans="1:555" ht="15.75" thickBot="1" x14ac:dyDescent="0.3">
      <c r="C16" s="129" t="s">
        <v>44</v>
      </c>
      <c r="D16" s="129" t="s">
        <v>55</v>
      </c>
      <c r="E16" s="136" t="s">
        <v>57</v>
      </c>
      <c r="F16" s="135" t="s">
        <v>27</v>
      </c>
      <c r="G16" s="133" t="s">
        <v>129</v>
      </c>
      <c r="H16" s="136" t="s">
        <v>46</v>
      </c>
      <c r="I16" s="133" t="s">
        <v>130</v>
      </c>
      <c r="J16" s="133" t="s">
        <v>408</v>
      </c>
      <c r="K16" s="133" t="s">
        <v>409</v>
      </c>
    </row>
    <row r="17" spans="3:11" ht="15.75" thickBot="1" x14ac:dyDescent="0.3">
      <c r="C17" s="220" t="s">
        <v>426</v>
      </c>
      <c r="D17" s="221">
        <v>5</v>
      </c>
      <c r="E17" s="219">
        <f>HLOOKUP(C17,$AH$2:$BU$3,2,0)</f>
        <v>2000</v>
      </c>
      <c r="F17" s="97">
        <f t="shared" ref="F17:F24" si="0">D17*E17</f>
        <v>10000</v>
      </c>
      <c r="G17" s="161" t="s">
        <v>127</v>
      </c>
      <c r="H17" s="142" t="s">
        <v>759</v>
      </c>
      <c r="I17" s="130" t="str">
        <f>VLOOKUP(H17,Presupuesto!$B$11:$C$565,2,0)</f>
        <v>VIATICOS NACIONALES</v>
      </c>
      <c r="J17" s="218" t="s">
        <v>1503</v>
      </c>
      <c r="K17" s="98" t="s">
        <v>401</v>
      </c>
    </row>
    <row r="18" spans="3:11" x14ac:dyDescent="0.25">
      <c r="C18" s="220" t="s">
        <v>430</v>
      </c>
      <c r="D18" s="221">
        <v>5</v>
      </c>
      <c r="E18" s="219">
        <f>HLOOKUP(C18,$AH$2:$BU$3,2,0)</f>
        <v>1750</v>
      </c>
      <c r="F18" s="97">
        <f t="shared" si="0"/>
        <v>8750</v>
      </c>
      <c r="G18" s="161" t="s">
        <v>127</v>
      </c>
      <c r="H18" s="142" t="s">
        <v>759</v>
      </c>
      <c r="I18" s="130" t="str">
        <f>VLOOKUP(H18,Presupuesto!$B$11:$C$565,2,0)</f>
        <v>VIATICOS NACIONALES</v>
      </c>
      <c r="J18" s="218" t="s">
        <v>1503</v>
      </c>
      <c r="K18" s="98" t="s">
        <v>401</v>
      </c>
    </row>
    <row r="19" spans="3:11" x14ac:dyDescent="0.25">
      <c r="C19" s="141" t="s">
        <v>1685</v>
      </c>
      <c r="D19" s="158">
        <v>2</v>
      </c>
      <c r="E19" s="123">
        <v>1000</v>
      </c>
      <c r="F19" s="97">
        <f t="shared" si="0"/>
        <v>2000</v>
      </c>
      <c r="G19" s="161" t="s">
        <v>127</v>
      </c>
      <c r="H19" s="142" t="s">
        <v>759</v>
      </c>
      <c r="I19" s="130" t="str">
        <f>VLOOKUP(H19,Presupuesto!$B$11:$C$565,2,0)</f>
        <v>VIATICOS NACIONALES</v>
      </c>
      <c r="J19" s="98" t="str">
        <f t="shared" ref="J19:J24" si="1">$J$17</f>
        <v>Gestión Tecnologías de Información y Comunicación</v>
      </c>
      <c r="K19" s="98" t="s">
        <v>401</v>
      </c>
    </row>
    <row r="20" spans="3:11" x14ac:dyDescent="0.25">
      <c r="C20" s="141" t="s">
        <v>1686</v>
      </c>
      <c r="D20" s="158">
        <v>1</v>
      </c>
      <c r="E20" s="123">
        <v>1000</v>
      </c>
      <c r="F20" s="97">
        <f t="shared" si="0"/>
        <v>1000</v>
      </c>
      <c r="G20" s="161" t="s">
        <v>127</v>
      </c>
      <c r="H20" s="142" t="s">
        <v>309</v>
      </c>
      <c r="I20" s="130" t="str">
        <f>VLOOKUP(H20,Presupuesto!$B$11:$C$565,2,0)</f>
        <v>ALIMENTOS Y BEBIDAS PARA PERSONAS (31100-00)</v>
      </c>
      <c r="J20" s="98" t="str">
        <f t="shared" si="1"/>
        <v>Gestión Tecnologías de Información y Comunicación</v>
      </c>
      <c r="K20" s="98" t="s">
        <v>401</v>
      </c>
    </row>
    <row r="21" spans="3:11" x14ac:dyDescent="0.25">
      <c r="C21" s="141" t="s">
        <v>1687</v>
      </c>
      <c r="D21" s="158">
        <v>2</v>
      </c>
      <c r="E21" s="123">
        <v>1000</v>
      </c>
      <c r="F21" s="97">
        <f t="shared" si="0"/>
        <v>2000</v>
      </c>
      <c r="G21" s="161" t="s">
        <v>127</v>
      </c>
      <c r="H21" s="142" t="s">
        <v>304</v>
      </c>
      <c r="I21" s="130" t="str">
        <f>VLOOKUP(H21,Presupuesto!$B$11:$C$565,2,0)</f>
        <v>PASAJES NACIONALES (26110-00)</v>
      </c>
      <c r="J21" s="98" t="str">
        <f t="shared" si="1"/>
        <v>Gestión Tecnologías de Información y Comunicación</v>
      </c>
      <c r="K21" s="98" t="s">
        <v>410</v>
      </c>
    </row>
    <row r="22" spans="3:11" x14ac:dyDescent="0.25">
      <c r="C22" s="141"/>
      <c r="D22" s="158"/>
      <c r="E22" s="123"/>
      <c r="F22" s="97">
        <f t="shared" si="0"/>
        <v>0</v>
      </c>
      <c r="G22" s="161"/>
      <c r="H22" s="142"/>
      <c r="I22" s="130" t="e">
        <f>VLOOKUP(H22,Presupuesto!$B$11:$C$565,2,0)</f>
        <v>#N/A</v>
      </c>
      <c r="J22" s="98" t="str">
        <f t="shared" si="1"/>
        <v>Gestión Tecnologías de Información y Comunicación</v>
      </c>
      <c r="K22" s="98" t="s">
        <v>399</v>
      </c>
    </row>
    <row r="23" spans="3:11" x14ac:dyDescent="0.25">
      <c r="C23" s="141"/>
      <c r="D23" s="158"/>
      <c r="E23" s="123"/>
      <c r="F23" s="97">
        <f t="shared" si="0"/>
        <v>0</v>
      </c>
      <c r="G23" s="161"/>
      <c r="H23" s="142"/>
      <c r="I23" s="130" t="e">
        <f>VLOOKUP(H23,Presupuesto!$B$11:$C$565,2,0)</f>
        <v>#N/A</v>
      </c>
      <c r="J23" s="98" t="str">
        <f t="shared" si="1"/>
        <v>Gestión Tecnologías de Información y Comunicación</v>
      </c>
      <c r="K23" s="98" t="s">
        <v>410</v>
      </c>
    </row>
    <row r="24" spans="3:11" ht="15.75" thickBot="1" x14ac:dyDescent="0.3">
      <c r="C24" s="147"/>
      <c r="D24" s="159"/>
      <c r="E24" s="103"/>
      <c r="F24" s="105">
        <f t="shared" si="0"/>
        <v>0</v>
      </c>
      <c r="G24" s="162"/>
      <c r="H24" s="148"/>
      <c r="I24" s="132" t="e">
        <f>VLOOKUP(H24,Presupuesto!$B$11:$C$565,2,0)</f>
        <v>#N/A</v>
      </c>
      <c r="J24" s="106" t="str">
        <f t="shared" si="1"/>
        <v>Gestión Tecnologías de Información y Comunicación</v>
      </c>
      <c r="K24" s="124" t="s">
        <v>392</v>
      </c>
    </row>
    <row r="26" spans="3:11" ht="15.75" thickBot="1" x14ac:dyDescent="0.3">
      <c r="F26" s="90"/>
      <c r="G26" s="599"/>
      <c r="H26" s="90"/>
      <c r="I26" s="90"/>
    </row>
    <row r="27" spans="3:11" ht="15.75" thickBot="1" x14ac:dyDescent="0.3">
      <c r="C27" s="157" t="s">
        <v>53</v>
      </c>
      <c r="D27" s="372">
        <f>SUM(F34:F44)</f>
        <v>260625</v>
      </c>
      <c r="F27" s="70"/>
      <c r="G27" s="600"/>
      <c r="H27" s="70"/>
      <c r="I27" s="70"/>
    </row>
    <row r="28" spans="3:11" x14ac:dyDescent="0.25">
      <c r="C28" s="70"/>
      <c r="D28" s="31"/>
      <c r="E28" s="93"/>
      <c r="F28" s="93"/>
      <c r="G28" s="93"/>
      <c r="H28" s="76"/>
      <c r="I28" s="76"/>
      <c r="J28" s="76"/>
      <c r="K28" s="112"/>
    </row>
    <row r="29" spans="3:11" x14ac:dyDescent="0.25">
      <c r="C29" s="70"/>
      <c r="D29" s="31"/>
      <c r="E29" s="93"/>
      <c r="F29" s="93"/>
      <c r="G29" s="93"/>
      <c r="H29" s="76"/>
      <c r="I29" s="76"/>
      <c r="J29" s="76"/>
      <c r="K29" s="112"/>
    </row>
    <row r="30" spans="3:11" ht="15.75" x14ac:dyDescent="0.25">
      <c r="C30" s="202" t="s">
        <v>390</v>
      </c>
      <c r="D30" s="368" t="str">
        <f>'7. Lo Esencial de la Reforma U.'!G8:G8</f>
        <v>2.1.2</v>
      </c>
      <c r="E30" s="93"/>
      <c r="F30" s="93"/>
      <c r="G30" s="93"/>
      <c r="H30" s="76"/>
      <c r="I30" s="76"/>
      <c r="J30" s="76"/>
      <c r="K30" s="112"/>
    </row>
    <row r="31" spans="3:11" ht="18.75" x14ac:dyDescent="0.25">
      <c r="C31" s="210" t="str">
        <f>IFERROR(VLOOKUP(D30,'1. Desarrollo e Innov. Curricu.'!$F:$G,2,FALSE),IFERROR(VLOOKUP(D30,'2. Investigación Científica'!$F:$G,2,FALSE),IFERROR(VLOOKUP(D30,'3. Vinculación Univ. Sociedad'!$F:$G,2,FALSE),IFERROR(VLOOKUP(D30,'4. Docencia y Profesorado Univ.'!$F:$G,2,FALSE),IFERROR(VLOOKUP(D30,'5. Estudiantes y Graduados'!$F:$G,2,FALSE),IFERROR(VLOOKUP(D30,'11. Gestion Administrativa'!$F:$G,2,FALSE),IFERROR(VLOOKUP(D30,'13. Gestión Académica'!$F:$G,2,FALSE),IFERROR(VLOOKUP(D30,'9. Asegura. de la Calid. y M'!$F:$G,2,FALSE),IFERROR(VLOOKUP(D30,'6. Gestión del Conocimiento'!$F:$G,2,FALSE),IFERROR(VLOOKUP(D30,'15. Gobernabilidad y Proceso...'!$G:$H,2,FALSE),IFERROR(VLOOKUP(D30,'12. Gestión del Talento Humano'!$F:$G,2,FALSE),IFERROR(VLOOKUP(D30,'14. Internacional... de la E.S.'!$F:$G,2,FALSE),IFERROR(VLOOKUP(D30,'10. Posgrado'!$F:$G,2,FALSE),IFERROR(VLOOKUP(D30,'17. Gestión TIC'!$F:$G,2,FALSE),IFERROR(VLOOKUP(D30,'16. Desa. del Sistema Educ.Sup.'!$F:$G,2,FALSE),IFERROR(VLOOKUP(D30,'8. Cultura de Inno. Insti...'!$F:$G,2,FALSE),VLOOKUP(D30,'7. Lo Esencial de la Reforma U.'!$G:$H,2,0)))))))))))))))))</f>
        <v>2.1.2 a) Campaña de promoción sobre la figura del Comisionado Universitario y el Acoso Sexual, a nivel nacional a inicio de cada uno de los períodos académicos mediante carpas 2.1.2 b ) Participación en todos los "Cursos Introducción a la Vida Universitaria" 2.1.2 c) Atención a solicitudes de capacitación sobre tema de DDHH</v>
      </c>
      <c r="D31" s="31"/>
      <c r="E31" s="93"/>
      <c r="F31" s="93"/>
      <c r="G31" s="93"/>
      <c r="H31" s="76"/>
      <c r="I31" s="76"/>
      <c r="J31" s="76"/>
      <c r="K31" s="112"/>
    </row>
    <row r="32" spans="3:11" ht="15.75" thickBot="1" x14ac:dyDescent="0.3">
      <c r="F32" s="93"/>
      <c r="G32" s="76"/>
      <c r="H32" s="76"/>
      <c r="I32" s="76"/>
    </row>
    <row r="33" spans="3:11" ht="15.75" thickBot="1" x14ac:dyDescent="0.3">
      <c r="C33" s="129" t="s">
        <v>44</v>
      </c>
      <c r="D33" s="129" t="s">
        <v>55</v>
      </c>
      <c r="E33" s="136" t="s">
        <v>57</v>
      </c>
      <c r="F33" s="135" t="s">
        <v>27</v>
      </c>
      <c r="G33" s="133" t="s">
        <v>129</v>
      </c>
      <c r="H33" s="136" t="s">
        <v>46</v>
      </c>
      <c r="I33" s="133" t="s">
        <v>130</v>
      </c>
      <c r="J33" s="133" t="s">
        <v>408</v>
      </c>
      <c r="K33" s="133" t="s">
        <v>409</v>
      </c>
    </row>
    <row r="34" spans="3:11" x14ac:dyDescent="0.25">
      <c r="C34" s="220" t="s">
        <v>418</v>
      </c>
      <c r="D34" s="221">
        <f>5*2.5</f>
        <v>12.5</v>
      </c>
      <c r="E34" s="556">
        <f>HLOOKUP(C34,$AH$2:$BU$3,2,0)</f>
        <v>2500</v>
      </c>
      <c r="F34" s="97">
        <f>D34*E34</f>
        <v>31250</v>
      </c>
      <c r="G34" s="161" t="s">
        <v>127</v>
      </c>
      <c r="H34" s="142" t="s">
        <v>759</v>
      </c>
      <c r="I34" s="130" t="str">
        <f>VLOOKUP(H34,Presupuesto!$B$11:$C$565,2,0)</f>
        <v>VIATICOS NACIONALES</v>
      </c>
      <c r="J34" s="218" t="s">
        <v>1359</v>
      </c>
      <c r="K34" s="98" t="s">
        <v>410</v>
      </c>
    </row>
    <row r="35" spans="3:11" x14ac:dyDescent="0.25">
      <c r="C35" s="220" t="s">
        <v>420</v>
      </c>
      <c r="D35" s="221">
        <v>2.5</v>
      </c>
      <c r="E35" s="557">
        <f t="shared" ref="E35:E39" si="2">HLOOKUP(C35,$AH$2:$BU$3,2,0)</f>
        <v>1650</v>
      </c>
      <c r="F35" s="97">
        <f t="shared" ref="F35:F44" si="3">D35*E35</f>
        <v>4125</v>
      </c>
      <c r="G35" s="161" t="s">
        <v>127</v>
      </c>
      <c r="H35" s="142" t="s">
        <v>759</v>
      </c>
      <c r="I35" s="130" t="str">
        <f>VLOOKUP(H35,Presupuesto!$B$11:$C$565,2,0)</f>
        <v>VIATICOS NACIONALES</v>
      </c>
      <c r="J35" s="218" t="s">
        <v>1359</v>
      </c>
      <c r="K35" s="98" t="s">
        <v>410</v>
      </c>
    </row>
    <row r="36" spans="3:11" x14ac:dyDescent="0.25">
      <c r="C36" s="220" t="s">
        <v>430</v>
      </c>
      <c r="D36" s="221">
        <f>12.5+5+2.5+2.5</f>
        <v>22.5</v>
      </c>
      <c r="E36" s="557">
        <f t="shared" si="2"/>
        <v>1750</v>
      </c>
      <c r="F36" s="97">
        <f t="shared" si="3"/>
        <v>39375</v>
      </c>
      <c r="G36" s="161" t="s">
        <v>127</v>
      </c>
      <c r="H36" s="142" t="s">
        <v>759</v>
      </c>
      <c r="I36" s="130" t="str">
        <f>VLOOKUP(H36,Presupuesto!$B$11:$C$565,2,0)</f>
        <v>VIATICOS NACIONALES</v>
      </c>
      <c r="J36" s="218" t="s">
        <v>1359</v>
      </c>
      <c r="K36" s="98" t="s">
        <v>410</v>
      </c>
    </row>
    <row r="37" spans="3:11" x14ac:dyDescent="0.25">
      <c r="C37" s="220" t="s">
        <v>432</v>
      </c>
      <c r="D37" s="221">
        <f>5+5+5</f>
        <v>15</v>
      </c>
      <c r="E37" s="557">
        <f t="shared" si="2"/>
        <v>900</v>
      </c>
      <c r="F37" s="97">
        <f t="shared" si="3"/>
        <v>13500</v>
      </c>
      <c r="G37" s="161" t="s">
        <v>127</v>
      </c>
      <c r="H37" s="142" t="s">
        <v>759</v>
      </c>
      <c r="I37" s="130" t="str">
        <f>VLOOKUP(H37,Presupuesto!$B$11:$C$565,2,0)</f>
        <v>VIATICOS NACIONALES</v>
      </c>
      <c r="J37" s="218" t="s">
        <v>1359</v>
      </c>
      <c r="K37" s="98" t="s">
        <v>410</v>
      </c>
    </row>
    <row r="38" spans="3:11" x14ac:dyDescent="0.25">
      <c r="C38" s="220" t="s">
        <v>426</v>
      </c>
      <c r="D38" s="221">
        <f>7.5+2.5+2.5</f>
        <v>12.5</v>
      </c>
      <c r="E38" s="557">
        <f t="shared" si="2"/>
        <v>2000</v>
      </c>
      <c r="F38" s="97">
        <f t="shared" si="3"/>
        <v>25000</v>
      </c>
      <c r="G38" s="161" t="s">
        <v>127</v>
      </c>
      <c r="H38" s="142" t="s">
        <v>759</v>
      </c>
      <c r="I38" s="130" t="str">
        <f>VLOOKUP(H38,Presupuesto!$B$11:$C$565,2,0)</f>
        <v>VIATICOS NACIONALES</v>
      </c>
      <c r="J38" s="218" t="s">
        <v>1359</v>
      </c>
      <c r="K38" s="98" t="s">
        <v>410</v>
      </c>
    </row>
    <row r="39" spans="3:11" x14ac:dyDescent="0.25">
      <c r="C39" s="220" t="s">
        <v>428</v>
      </c>
      <c r="D39" s="221">
        <f>5</f>
        <v>5</v>
      </c>
      <c r="E39" s="557">
        <f t="shared" si="2"/>
        <v>1150</v>
      </c>
      <c r="F39" s="97">
        <f t="shared" si="3"/>
        <v>5750</v>
      </c>
      <c r="G39" s="161" t="s">
        <v>127</v>
      </c>
      <c r="H39" s="142" t="s">
        <v>759</v>
      </c>
      <c r="I39" s="130" t="str">
        <f>VLOOKUP(H39,Presupuesto!$B$11:$C$565,2,0)</f>
        <v>VIATICOS NACIONALES</v>
      </c>
      <c r="J39" s="218" t="s">
        <v>1359</v>
      </c>
      <c r="K39" s="98" t="s">
        <v>410</v>
      </c>
    </row>
    <row r="40" spans="3:11" x14ac:dyDescent="0.25">
      <c r="C40" s="145" t="s">
        <v>1755</v>
      </c>
      <c r="D40" s="151">
        <v>2400</v>
      </c>
      <c r="E40" s="118">
        <v>50</v>
      </c>
      <c r="F40" s="97">
        <f t="shared" si="3"/>
        <v>120000</v>
      </c>
      <c r="G40" s="161" t="s">
        <v>127</v>
      </c>
      <c r="H40" s="146" t="s">
        <v>790</v>
      </c>
      <c r="I40" s="130" t="str">
        <f>VLOOKUP(H40,Presupuesto!$B$11:$C$565,2,0)</f>
        <v>ALIMENTOS B EBIDAS PARA PERSONAS</v>
      </c>
      <c r="J40" s="218" t="s">
        <v>1359</v>
      </c>
      <c r="K40" s="98" t="s">
        <v>410</v>
      </c>
    </row>
    <row r="41" spans="3:11" x14ac:dyDescent="0.25">
      <c r="C41" s="220" t="s">
        <v>434</v>
      </c>
      <c r="D41" s="221">
        <f>5*2.5</f>
        <v>12.5</v>
      </c>
      <c r="E41" s="557">
        <f t="shared" ref="E41" si="4">HLOOKUP(C41,$AH$2:$BU$3,2,0)</f>
        <v>1200</v>
      </c>
      <c r="F41" s="97">
        <f t="shared" si="3"/>
        <v>15000</v>
      </c>
      <c r="G41" s="161" t="s">
        <v>127</v>
      </c>
      <c r="H41" s="142" t="s">
        <v>759</v>
      </c>
      <c r="I41" s="130" t="str">
        <f>VLOOKUP(H41,Presupuesto!$B$11:$C$565,2,0)</f>
        <v>VIATICOS NACIONALES</v>
      </c>
      <c r="J41" s="218" t="s">
        <v>1359</v>
      </c>
      <c r="K41" s="98" t="s">
        <v>410</v>
      </c>
    </row>
    <row r="42" spans="3:11" x14ac:dyDescent="0.25">
      <c r="C42" s="220" t="s">
        <v>436</v>
      </c>
      <c r="D42" s="221">
        <f>2.5</f>
        <v>2.5</v>
      </c>
      <c r="E42" s="557">
        <f t="shared" ref="E42" si="5">HLOOKUP(C42,$AH$2:$BU$3,2,0)</f>
        <v>650</v>
      </c>
      <c r="F42" s="97">
        <f t="shared" si="3"/>
        <v>1625</v>
      </c>
      <c r="G42" s="161" t="s">
        <v>127</v>
      </c>
      <c r="H42" s="142" t="s">
        <v>759</v>
      </c>
      <c r="I42" s="130" t="str">
        <f>VLOOKUP(H42,Presupuesto!$B$11:$C$565,2,0)</f>
        <v>VIATICOS NACIONALES</v>
      </c>
      <c r="J42" s="218" t="s">
        <v>1359</v>
      </c>
      <c r="K42" s="98" t="s">
        <v>410</v>
      </c>
    </row>
    <row r="43" spans="3:11" x14ac:dyDescent="0.25">
      <c r="C43" s="145" t="s">
        <v>1758</v>
      </c>
      <c r="D43" s="151">
        <v>1</v>
      </c>
      <c r="E43" s="118">
        <v>5000</v>
      </c>
      <c r="F43" s="97">
        <f t="shared" si="3"/>
        <v>5000</v>
      </c>
      <c r="G43" s="161" t="s">
        <v>127</v>
      </c>
      <c r="H43" s="146" t="s">
        <v>869</v>
      </c>
      <c r="I43" s="130" t="str">
        <f>VLOOKUP(H43,Presupuesto!$B$11:$C$565,2,0)</f>
        <v>GASOLINA</v>
      </c>
      <c r="J43" s="218" t="s">
        <v>1359</v>
      </c>
      <c r="K43" s="98" t="s">
        <v>410</v>
      </c>
    </row>
    <row r="44" spans="3:11" ht="15.75" thickBot="1" x14ac:dyDescent="0.3">
      <c r="C44" s="147"/>
      <c r="D44" s="159"/>
      <c r="E44" s="103"/>
      <c r="F44" s="97">
        <f t="shared" si="3"/>
        <v>0</v>
      </c>
      <c r="G44" s="162"/>
      <c r="H44" s="148"/>
      <c r="I44" s="132" t="e">
        <f>VLOOKUP(H44,Presupuesto!$B$11:$C$565,2,0)</f>
        <v>#N/A</v>
      </c>
      <c r="J44" s="218" t="s">
        <v>1359</v>
      </c>
      <c r="K44" s="124" t="s">
        <v>392</v>
      </c>
    </row>
    <row r="46" spans="3:11" ht="15.75" thickBot="1" x14ac:dyDescent="0.3"/>
    <row r="47" spans="3:11" ht="15.75" thickBot="1" x14ac:dyDescent="0.3">
      <c r="C47" s="157" t="s">
        <v>53</v>
      </c>
      <c r="D47" s="372">
        <f>SUM(F54:F64)</f>
        <v>110625</v>
      </c>
      <c r="F47" s="70"/>
      <c r="G47" s="600"/>
      <c r="H47" s="70"/>
      <c r="I47" s="70"/>
    </row>
    <row r="48" spans="3:11" x14ac:dyDescent="0.25">
      <c r="C48" s="70"/>
      <c r="D48" s="31"/>
      <c r="E48" s="93"/>
      <c r="F48" s="93"/>
      <c r="G48" s="93"/>
      <c r="H48" s="76"/>
      <c r="I48" s="76"/>
      <c r="J48" s="76"/>
      <c r="K48" s="112"/>
    </row>
    <row r="49" spans="3:11" x14ac:dyDescent="0.25">
      <c r="C49" s="70"/>
      <c r="D49" s="31"/>
      <c r="E49" s="93"/>
      <c r="F49" s="93"/>
      <c r="G49" s="93"/>
      <c r="H49" s="76"/>
      <c r="I49" s="76"/>
      <c r="J49" s="76"/>
      <c r="K49" s="112"/>
    </row>
    <row r="50" spans="3:11" ht="15.75" x14ac:dyDescent="0.25">
      <c r="C50" s="202" t="s">
        <v>390</v>
      </c>
      <c r="D50" s="368" t="str">
        <f>'7. Lo Esencial de la Reforma U.'!G10</f>
        <v>2.2.2</v>
      </c>
      <c r="E50" s="93"/>
      <c r="F50" s="93"/>
      <c r="G50" s="93"/>
      <c r="H50" s="76"/>
      <c r="I50" s="76"/>
      <c r="J50" s="76"/>
      <c r="K50" s="112"/>
    </row>
    <row r="51" spans="3:11" ht="18.75" x14ac:dyDescent="0.25">
      <c r="C51" s="210" t="str">
        <f>IFERROR(VLOOKUP(D50,'1. Desarrollo e Innov. Curricu.'!$F:$G,2,FALSE),IFERROR(VLOOKUP(D50,'2. Investigación Científica'!$F:$G,2,FALSE),IFERROR(VLOOKUP(D50,'3. Vinculación Univ. Sociedad'!$F:$G,2,FALSE),IFERROR(VLOOKUP(D50,'4. Docencia y Profesorado Univ.'!$F:$G,2,FALSE),IFERROR(VLOOKUP(D50,'5. Estudiantes y Graduados'!$F:$G,2,FALSE),IFERROR(VLOOKUP(D50,'11. Gestion Administrativa'!$F:$G,2,FALSE),IFERROR(VLOOKUP(D50,'13. Gestión Académica'!$F:$G,2,FALSE),IFERROR(VLOOKUP(D50,'9. Asegura. de la Calid. y M'!$F:$G,2,FALSE),IFERROR(VLOOKUP(D50,'6. Gestión del Conocimiento'!$F:$G,2,FALSE),IFERROR(VLOOKUP(D50,'15. Gobernabilidad y Proceso...'!$G:$H,2,FALSE),IFERROR(VLOOKUP(D50,'12. Gestión del Talento Humano'!$F:$G,2,FALSE),IFERROR(VLOOKUP(D50,'14. Internacional... de la E.S.'!$F:$G,2,FALSE),IFERROR(VLOOKUP(D50,'10. Posgrado'!$F:$G,2,FALSE),IFERROR(VLOOKUP(D50,'17. Gestión TIC'!$F:$G,2,FALSE),IFERROR(VLOOKUP(D50,'16. Desa. del Sistema Educ.Sup.'!$F:$G,2,FALSE),IFERROR(VLOOKUP(D50,'8. Cultura de Inno. Insti...'!$F:$G,2,FALSE),VLOOKUP(D50,'7. Lo Esencial de la Reforma U.'!$G:$H,2,0)))))))))))))))))</f>
        <v>2.2.2. a) Campaña "Yo soy hombre y respeto los DDHH de la mujer" (Insumos: Conferencistas propuestos: Joaquín Mejía - Tegucigalpa, Abencio Fernández - Santa Rosa, José Amado Mancía - UNAH-VS, Tegucigalpa y Delegaciones próximas apoyo al IUDPAS y CPTRT / Viáticos: Delegados y Asistentes a cada Centro; a los 4 Centros del Delegado CSNO viáticos para el Conferencista / Refrigerio para 100 para cada Centro / Material: 5,000 llaveros con el tema).</v>
      </c>
      <c r="D51" s="405"/>
      <c r="E51" s="93"/>
      <c r="F51" s="93"/>
      <c r="G51" s="93"/>
      <c r="H51" s="76"/>
      <c r="I51" s="76"/>
      <c r="J51" s="76"/>
      <c r="K51" s="112"/>
    </row>
    <row r="52" spans="3:11" ht="15.75" thickBot="1" x14ac:dyDescent="0.3">
      <c r="F52" s="93"/>
      <c r="G52" s="76"/>
      <c r="H52" s="76"/>
      <c r="I52" s="76"/>
    </row>
    <row r="53" spans="3:11" ht="15.75" thickBot="1" x14ac:dyDescent="0.3">
      <c r="C53" s="129" t="s">
        <v>44</v>
      </c>
      <c r="D53" s="129" t="s">
        <v>55</v>
      </c>
      <c r="E53" s="136" t="s">
        <v>57</v>
      </c>
      <c r="F53" s="135" t="s">
        <v>27</v>
      </c>
      <c r="G53" s="133" t="s">
        <v>129</v>
      </c>
      <c r="H53" s="136" t="s">
        <v>46</v>
      </c>
      <c r="I53" s="133" t="s">
        <v>130</v>
      </c>
      <c r="J53" s="133" t="s">
        <v>408</v>
      </c>
      <c r="K53" s="133" t="s">
        <v>409</v>
      </c>
    </row>
    <row r="54" spans="3:11" x14ac:dyDescent="0.25">
      <c r="C54" s="220" t="s">
        <v>418</v>
      </c>
      <c r="D54" s="221">
        <f>2.5</f>
        <v>2.5</v>
      </c>
      <c r="E54" s="556">
        <f>HLOOKUP(C54,$AH$2:$BU$3,2,0)</f>
        <v>2500</v>
      </c>
      <c r="F54" s="97">
        <f>D54*E54</f>
        <v>6250</v>
      </c>
      <c r="G54" s="161" t="s">
        <v>127</v>
      </c>
      <c r="H54" s="142" t="s">
        <v>759</v>
      </c>
      <c r="I54" s="130" t="str">
        <f>VLOOKUP(H54,Presupuesto!$B$11:$C$565,2,0)</f>
        <v>VIATICOS NACIONALES</v>
      </c>
      <c r="J54" s="218" t="s">
        <v>1359</v>
      </c>
      <c r="K54" s="98" t="s">
        <v>400</v>
      </c>
    </row>
    <row r="55" spans="3:11" x14ac:dyDescent="0.25">
      <c r="C55" s="220" t="s">
        <v>420</v>
      </c>
      <c r="D55" s="221"/>
      <c r="E55" s="557">
        <f t="shared" ref="E55:E59" si="6">HLOOKUP(C55,$AH$2:$BU$3,2,0)</f>
        <v>1650</v>
      </c>
      <c r="F55" s="97">
        <f t="shared" ref="F55:F59" si="7">D55*E55</f>
        <v>0</v>
      </c>
      <c r="G55" s="161" t="s">
        <v>127</v>
      </c>
      <c r="H55" s="142" t="s">
        <v>759</v>
      </c>
      <c r="I55" s="130" t="str">
        <f>VLOOKUP(H55,Presupuesto!$B$11:$C$565,2,0)</f>
        <v>VIATICOS NACIONALES</v>
      </c>
      <c r="J55" s="218" t="s">
        <v>1359</v>
      </c>
      <c r="K55" s="98" t="s">
        <v>400</v>
      </c>
    </row>
    <row r="56" spans="3:11" x14ac:dyDescent="0.25">
      <c r="C56" s="220" t="s">
        <v>430</v>
      </c>
      <c r="D56" s="221">
        <f>2.5+5</f>
        <v>7.5</v>
      </c>
      <c r="E56" s="557">
        <f t="shared" si="6"/>
        <v>1750</v>
      </c>
      <c r="F56" s="97">
        <f t="shared" si="7"/>
        <v>13125</v>
      </c>
      <c r="G56" s="161" t="s">
        <v>127</v>
      </c>
      <c r="H56" s="142" t="s">
        <v>759</v>
      </c>
      <c r="I56" s="130" t="str">
        <f>VLOOKUP(H56,Presupuesto!$B$11:$C$565,2,0)</f>
        <v>VIATICOS NACIONALES</v>
      </c>
      <c r="J56" s="218" t="s">
        <v>1359</v>
      </c>
      <c r="K56" s="98" t="s">
        <v>400</v>
      </c>
    </row>
    <row r="57" spans="3:11" x14ac:dyDescent="0.25">
      <c r="C57" s="220" t="s">
        <v>432</v>
      </c>
      <c r="D57" s="221">
        <f>5</f>
        <v>5</v>
      </c>
      <c r="E57" s="557">
        <f t="shared" si="6"/>
        <v>900</v>
      </c>
      <c r="F57" s="97">
        <f t="shared" si="7"/>
        <v>4500</v>
      </c>
      <c r="G57" s="161" t="s">
        <v>127</v>
      </c>
      <c r="H57" s="142" t="s">
        <v>759</v>
      </c>
      <c r="I57" s="130" t="str">
        <f>VLOOKUP(H57,Presupuesto!$B$11:$C$565,2,0)</f>
        <v>VIATICOS NACIONALES</v>
      </c>
      <c r="J57" s="218" t="s">
        <v>1359</v>
      </c>
      <c r="K57" s="98" t="s">
        <v>400</v>
      </c>
    </row>
    <row r="58" spans="3:11" x14ac:dyDescent="0.25">
      <c r="C58" s="220" t="s">
        <v>426</v>
      </c>
      <c r="D58" s="221">
        <f>7.5+2.5</f>
        <v>10</v>
      </c>
      <c r="E58" s="557">
        <f t="shared" si="6"/>
        <v>2000</v>
      </c>
      <c r="F58" s="97">
        <f t="shared" si="7"/>
        <v>20000</v>
      </c>
      <c r="G58" s="161" t="s">
        <v>127</v>
      </c>
      <c r="H58" s="142" t="s">
        <v>759</v>
      </c>
      <c r="I58" s="130" t="str">
        <f>VLOOKUP(H58,Presupuesto!$B$11:$C$565,2,0)</f>
        <v>VIATICOS NACIONALES</v>
      </c>
      <c r="J58" s="218" t="s">
        <v>1359</v>
      </c>
      <c r="K58" s="98" t="s">
        <v>400</v>
      </c>
    </row>
    <row r="59" spans="3:11" x14ac:dyDescent="0.25">
      <c r="C59" s="220" t="s">
        <v>428</v>
      </c>
      <c r="D59" s="221">
        <f>5</f>
        <v>5</v>
      </c>
      <c r="E59" s="557">
        <f t="shared" si="6"/>
        <v>1150</v>
      </c>
      <c r="F59" s="97">
        <f t="shared" si="7"/>
        <v>5750</v>
      </c>
      <c r="G59" s="161" t="s">
        <v>127</v>
      </c>
      <c r="H59" s="142" t="s">
        <v>759</v>
      </c>
      <c r="I59" s="130" t="str">
        <f>VLOOKUP(H59,Presupuesto!$B$11:$C$565,2,0)</f>
        <v>VIATICOS NACIONALES</v>
      </c>
      <c r="J59" s="218" t="s">
        <v>1359</v>
      </c>
      <c r="K59" s="98" t="s">
        <v>400</v>
      </c>
    </row>
    <row r="60" spans="3:11" x14ac:dyDescent="0.25">
      <c r="C60" s="141" t="s">
        <v>1756</v>
      </c>
      <c r="D60" s="158">
        <v>5000</v>
      </c>
      <c r="E60" s="123">
        <v>5</v>
      </c>
      <c r="F60" s="97">
        <f t="shared" ref="F60:F64" si="8">D60*E60</f>
        <v>25000</v>
      </c>
      <c r="G60" s="161" t="s">
        <v>1675</v>
      </c>
      <c r="H60" s="142" t="s">
        <v>294</v>
      </c>
      <c r="I60" s="130" t="str">
        <f>VLOOKUP(H60,Presupuesto!$B$11:$C$565,2,0)</f>
        <v>PUBLICIDAD Y PROPAGANDA</v>
      </c>
      <c r="J60" s="218" t="s">
        <v>1359</v>
      </c>
      <c r="K60" s="98" t="s">
        <v>400</v>
      </c>
    </row>
    <row r="61" spans="3:11" x14ac:dyDescent="0.25">
      <c r="C61" s="141" t="s">
        <v>1757</v>
      </c>
      <c r="D61" s="158">
        <v>700</v>
      </c>
      <c r="E61" s="123">
        <v>50</v>
      </c>
      <c r="F61" s="97">
        <f t="shared" si="8"/>
        <v>35000</v>
      </c>
      <c r="G61" s="161" t="s">
        <v>1675</v>
      </c>
      <c r="H61" s="142" t="s">
        <v>790</v>
      </c>
      <c r="I61" s="130" t="str">
        <f>VLOOKUP(H61,Presupuesto!$B$11:$C$565,2,0)</f>
        <v>ALIMENTOS B EBIDAS PARA PERSONAS</v>
      </c>
      <c r="J61" s="218" t="s">
        <v>1359</v>
      </c>
      <c r="K61" s="98" t="s">
        <v>400</v>
      </c>
    </row>
    <row r="62" spans="3:11" x14ac:dyDescent="0.25">
      <c r="C62" s="141" t="s">
        <v>1686</v>
      </c>
      <c r="D62" s="158">
        <v>1</v>
      </c>
      <c r="E62" s="86">
        <v>1000</v>
      </c>
      <c r="F62" s="97">
        <f t="shared" si="8"/>
        <v>1000</v>
      </c>
      <c r="G62" s="161" t="s">
        <v>127</v>
      </c>
      <c r="H62" s="146" t="s">
        <v>869</v>
      </c>
      <c r="I62" s="130" t="str">
        <f>VLOOKUP(H62,Presupuesto!$B$11:$C$565,2,0)</f>
        <v>GASOLINA</v>
      </c>
      <c r="J62" s="218" t="s">
        <v>1359</v>
      </c>
      <c r="K62" s="98" t="s">
        <v>400</v>
      </c>
    </row>
    <row r="63" spans="3:11" x14ac:dyDescent="0.25">
      <c r="C63" s="141"/>
      <c r="D63" s="158"/>
      <c r="E63" s="123"/>
      <c r="F63" s="97">
        <f t="shared" si="8"/>
        <v>0</v>
      </c>
      <c r="G63" s="161"/>
      <c r="H63" s="142"/>
      <c r="I63" s="130" t="e">
        <f>VLOOKUP(H63,Presupuesto!$B$11:$C$565,2,0)</f>
        <v>#N/A</v>
      </c>
      <c r="J63" s="218" t="s">
        <v>1359</v>
      </c>
      <c r="K63" s="98" t="s">
        <v>410</v>
      </c>
    </row>
    <row r="64" spans="3:11" ht="15.75" thickBot="1" x14ac:dyDescent="0.3">
      <c r="C64" s="147"/>
      <c r="D64" s="159"/>
      <c r="E64" s="103"/>
      <c r="F64" s="105">
        <f t="shared" si="8"/>
        <v>0</v>
      </c>
      <c r="G64" s="162"/>
      <c r="H64" s="148"/>
      <c r="I64" s="132" t="e">
        <f>VLOOKUP(H64,Presupuesto!$B$11:$C$565,2,0)</f>
        <v>#N/A</v>
      </c>
      <c r="J64" s="218" t="s">
        <v>1359</v>
      </c>
      <c r="K64" s="124" t="s">
        <v>392</v>
      </c>
    </row>
    <row r="66" spans="3:11" ht="15.75" thickBot="1" x14ac:dyDescent="0.3">
      <c r="F66" s="90"/>
      <c r="G66" s="89"/>
      <c r="H66" s="90"/>
      <c r="I66" s="90"/>
    </row>
    <row r="67" spans="3:11" ht="15.75" thickBot="1" x14ac:dyDescent="0.3">
      <c r="C67" s="157" t="s">
        <v>53</v>
      </c>
      <c r="D67" s="372">
        <f>SUM(F74:F84)</f>
        <v>65750</v>
      </c>
      <c r="F67" s="70"/>
      <c r="G67" s="79"/>
      <c r="H67" s="70"/>
      <c r="I67" s="70"/>
    </row>
    <row r="68" spans="3:11" x14ac:dyDescent="0.25">
      <c r="C68" s="70"/>
      <c r="D68" s="31"/>
      <c r="E68" s="93"/>
      <c r="F68" s="93"/>
      <c r="G68" s="93"/>
      <c r="H68" s="76"/>
      <c r="I68" s="76"/>
      <c r="J68" s="76"/>
      <c r="K68" s="112"/>
    </row>
    <row r="69" spans="3:11" x14ac:dyDescent="0.25">
      <c r="C69" s="70"/>
      <c r="D69" s="31"/>
      <c r="E69" s="93"/>
      <c r="F69" s="93"/>
      <c r="G69" s="93"/>
      <c r="H69" s="76"/>
      <c r="I69" s="76"/>
      <c r="J69" s="76"/>
      <c r="K69" s="112"/>
    </row>
    <row r="70" spans="3:11" ht="15.75" x14ac:dyDescent="0.25">
      <c r="C70" s="202" t="s">
        <v>390</v>
      </c>
      <c r="D70" s="368" t="str">
        <f>'7. Lo Esencial de la Reforma U.'!G11</f>
        <v>2.2.3</v>
      </c>
      <c r="E70" s="93"/>
      <c r="F70" s="93"/>
      <c r="G70" s="93"/>
      <c r="H70" s="76"/>
      <c r="I70" s="76"/>
      <c r="J70" s="76"/>
      <c r="K70" s="112"/>
    </row>
    <row r="71" spans="3:11" ht="18.75" x14ac:dyDescent="0.25">
      <c r="C71" s="210" t="str">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Proceso...'!$G:$H,2,FALSE),IFERROR(VLOOKUP(D70,'12.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U.'!$G:$H,2,0)))))))))))))))))</f>
        <v>2.2.3 a ) Inducción a los estudiantes voluntarios del Comisionado Universitario (Insumos: Refrigerios, carnet, diplomas, tintas, cartulina, viáticos para dos personas hacia Comayagua, SPS y La Ceiba).</v>
      </c>
      <c r="D71" s="31"/>
      <c r="E71" s="93"/>
      <c r="F71" s="93"/>
      <c r="G71" s="93"/>
      <c r="H71" s="76"/>
      <c r="I71" s="76"/>
      <c r="J71" s="76"/>
      <c r="K71" s="112"/>
    </row>
    <row r="72" spans="3:11" ht="15.75" thickBot="1" x14ac:dyDescent="0.3">
      <c r="F72" s="93"/>
      <c r="G72" s="76"/>
      <c r="H72" s="76"/>
      <c r="I72" s="76"/>
    </row>
    <row r="73" spans="3:11" ht="15.75" thickBot="1" x14ac:dyDescent="0.3">
      <c r="C73" s="129" t="s">
        <v>44</v>
      </c>
      <c r="D73" s="129" t="s">
        <v>55</v>
      </c>
      <c r="E73" s="136" t="s">
        <v>57</v>
      </c>
      <c r="F73" s="135" t="s">
        <v>27</v>
      </c>
      <c r="G73" s="133" t="s">
        <v>129</v>
      </c>
      <c r="H73" s="136" t="s">
        <v>46</v>
      </c>
      <c r="I73" s="133" t="s">
        <v>130</v>
      </c>
      <c r="J73" s="133" t="s">
        <v>408</v>
      </c>
      <c r="K73" s="133" t="s">
        <v>409</v>
      </c>
    </row>
    <row r="74" spans="3:11" x14ac:dyDescent="0.25">
      <c r="C74" s="220" t="s">
        <v>434</v>
      </c>
      <c r="D74" s="221">
        <f>7.5</f>
        <v>7.5</v>
      </c>
      <c r="E74" s="219">
        <f>HLOOKUP(C74,$AH$2:$BU$3,2,0)</f>
        <v>1200</v>
      </c>
      <c r="F74" s="97">
        <f t="shared" ref="F74:F84" si="9">D74*E74</f>
        <v>9000</v>
      </c>
      <c r="G74" s="161" t="s">
        <v>127</v>
      </c>
      <c r="H74" s="142" t="s">
        <v>759</v>
      </c>
      <c r="I74" s="130" t="str">
        <f>VLOOKUP(H74,Presupuesto!$B$11:$C$565,2,0)</f>
        <v>VIATICOS NACIONALES</v>
      </c>
      <c r="J74" s="218" t="s">
        <v>1359</v>
      </c>
      <c r="K74" s="98" t="s">
        <v>395</v>
      </c>
    </row>
    <row r="75" spans="3:11" x14ac:dyDescent="0.25">
      <c r="C75" s="141"/>
      <c r="D75" s="158"/>
      <c r="E75" s="123"/>
      <c r="F75" s="97">
        <f t="shared" si="9"/>
        <v>0</v>
      </c>
      <c r="G75" s="161"/>
      <c r="H75" s="142"/>
      <c r="I75" s="130" t="e">
        <f>VLOOKUP(H75,Presupuesto!$B$11:$C$565,2,0)</f>
        <v>#N/A</v>
      </c>
      <c r="J75" s="218" t="s">
        <v>1359</v>
      </c>
      <c r="K75" s="98" t="s">
        <v>410</v>
      </c>
    </row>
    <row r="76" spans="3:11" x14ac:dyDescent="0.25">
      <c r="C76" s="220" t="s">
        <v>430</v>
      </c>
      <c r="D76" s="221">
        <f>7.5*2</f>
        <v>15</v>
      </c>
      <c r="E76" s="557">
        <f t="shared" ref="E76" si="10">HLOOKUP(C76,$AH$2:$BU$3,2,0)</f>
        <v>1750</v>
      </c>
      <c r="F76" s="97">
        <f t="shared" si="9"/>
        <v>26250</v>
      </c>
      <c r="G76" s="161" t="s">
        <v>127</v>
      </c>
      <c r="H76" s="142" t="s">
        <v>759</v>
      </c>
      <c r="I76" s="130" t="str">
        <f>VLOOKUP(H76,Presupuesto!$B$11:$C$565,2,0)</f>
        <v>VIATICOS NACIONALES</v>
      </c>
      <c r="J76" s="218" t="s">
        <v>1359</v>
      </c>
      <c r="K76" s="98" t="s">
        <v>395</v>
      </c>
    </row>
    <row r="77" spans="3:11" x14ac:dyDescent="0.25">
      <c r="C77" s="141" t="s">
        <v>1759</v>
      </c>
      <c r="D77" s="158">
        <v>1</v>
      </c>
      <c r="E77" s="123">
        <v>4000</v>
      </c>
      <c r="F77" s="97">
        <f t="shared" si="9"/>
        <v>4000</v>
      </c>
      <c r="G77" s="161" t="s">
        <v>127</v>
      </c>
      <c r="H77" s="142" t="s">
        <v>325</v>
      </c>
      <c r="I77" s="130" t="str">
        <f>VLOOKUP(H77,Presupuesto!$B$11:$C$565,2,0)</f>
        <v>UTILES DE ESCRITORIO, OFICINA Y ENZE¥ANZA</v>
      </c>
      <c r="J77" s="218" t="s">
        <v>1359</v>
      </c>
      <c r="K77" s="98" t="s">
        <v>395</v>
      </c>
    </row>
    <row r="78" spans="3:11" x14ac:dyDescent="0.25">
      <c r="C78" s="141" t="s">
        <v>1760</v>
      </c>
      <c r="D78" s="158">
        <v>300</v>
      </c>
      <c r="E78" s="123">
        <v>50</v>
      </c>
      <c r="F78" s="97">
        <f>D78*E78</f>
        <v>15000</v>
      </c>
      <c r="G78" s="161" t="s">
        <v>127</v>
      </c>
      <c r="H78" s="142" t="s">
        <v>790</v>
      </c>
      <c r="I78" s="130" t="str">
        <f>VLOOKUP(H78,Presupuesto!$B$11:$C$565,2,0)</f>
        <v>ALIMENTOS B EBIDAS PARA PERSONAS</v>
      </c>
      <c r="J78" s="218" t="s">
        <v>1359</v>
      </c>
      <c r="K78" s="98" t="s">
        <v>395</v>
      </c>
    </row>
    <row r="79" spans="3:11" x14ac:dyDescent="0.25">
      <c r="C79" s="141" t="s">
        <v>1761</v>
      </c>
      <c r="D79" s="158">
        <v>1</v>
      </c>
      <c r="E79" s="123">
        <v>11500</v>
      </c>
      <c r="F79" s="97">
        <f t="shared" si="9"/>
        <v>11500</v>
      </c>
      <c r="G79" s="161" t="s">
        <v>127</v>
      </c>
      <c r="H79" s="142" t="s">
        <v>953</v>
      </c>
      <c r="I79" s="130" t="str">
        <f>VLOOKUP(H79,Presupuesto!$B$11:$C$565,2,0)</f>
        <v>OTROS RESPUESTOS Y ACCESORIOS MENORES</v>
      </c>
      <c r="J79" s="218" t="s">
        <v>1359</v>
      </c>
      <c r="K79" s="98" t="s">
        <v>395</v>
      </c>
    </row>
    <row r="80" spans="3:11" x14ac:dyDescent="0.25">
      <c r="C80" s="141"/>
      <c r="D80" s="158"/>
      <c r="E80" s="123"/>
      <c r="F80" s="97">
        <f t="shared" si="9"/>
        <v>0</v>
      </c>
      <c r="G80" s="161"/>
      <c r="H80" s="142"/>
      <c r="I80" s="130" t="e">
        <f>VLOOKUP(H80,Presupuesto!$B$11:$C$565,2,0)</f>
        <v>#N/A</v>
      </c>
      <c r="J80" s="218" t="s">
        <v>1359</v>
      </c>
      <c r="K80" s="98" t="s">
        <v>410</v>
      </c>
    </row>
    <row r="81" spans="3:11" x14ac:dyDescent="0.25">
      <c r="C81" s="141"/>
      <c r="D81" s="158"/>
      <c r="E81" s="123"/>
      <c r="F81" s="97">
        <f t="shared" si="9"/>
        <v>0</v>
      </c>
      <c r="G81" s="161"/>
      <c r="H81" s="142"/>
      <c r="I81" s="130" t="e">
        <f>VLOOKUP(H81,Presupuesto!$B$11:$C$565,2,0)</f>
        <v>#N/A</v>
      </c>
      <c r="J81" s="218" t="s">
        <v>1359</v>
      </c>
      <c r="K81" s="98" t="s">
        <v>410</v>
      </c>
    </row>
    <row r="82" spans="3:11" x14ac:dyDescent="0.25">
      <c r="C82" s="141"/>
      <c r="D82" s="158"/>
      <c r="E82" s="123"/>
      <c r="F82" s="97">
        <f t="shared" si="9"/>
        <v>0</v>
      </c>
      <c r="G82" s="161"/>
      <c r="H82" s="142"/>
      <c r="I82" s="130" t="e">
        <f>VLOOKUP(H82,Presupuesto!$B$11:$C$565,2,0)</f>
        <v>#N/A</v>
      </c>
      <c r="J82" s="218" t="s">
        <v>1359</v>
      </c>
      <c r="K82" s="98" t="s">
        <v>410</v>
      </c>
    </row>
    <row r="83" spans="3:11" x14ac:dyDescent="0.25">
      <c r="C83" s="141"/>
      <c r="D83" s="158"/>
      <c r="E83" s="123"/>
      <c r="F83" s="97">
        <f t="shared" si="9"/>
        <v>0</v>
      </c>
      <c r="G83" s="161"/>
      <c r="H83" s="142"/>
      <c r="I83" s="130" t="e">
        <f>VLOOKUP(H83,Presupuesto!$B$11:$C$565,2,0)</f>
        <v>#N/A</v>
      </c>
      <c r="J83" s="218" t="s">
        <v>1359</v>
      </c>
      <c r="K83" s="98" t="s">
        <v>410</v>
      </c>
    </row>
    <row r="84" spans="3:11" ht="15.75" thickBot="1" x14ac:dyDescent="0.3">
      <c r="C84" s="147"/>
      <c r="D84" s="159"/>
      <c r="E84" s="103"/>
      <c r="F84" s="105">
        <f t="shared" si="9"/>
        <v>0</v>
      </c>
      <c r="G84" s="162"/>
      <c r="H84" s="148"/>
      <c r="I84" s="132" t="e">
        <f>VLOOKUP(H84,Presupuesto!$B$11:$C$565,2,0)</f>
        <v>#N/A</v>
      </c>
      <c r="J84" s="106" t="str">
        <f t="shared" ref="J84" si="11">$J$74</f>
        <v>Lo Esencial de la Reforma Universitaria</v>
      </c>
      <c r="K84" s="124" t="s">
        <v>392</v>
      </c>
    </row>
    <row r="86" spans="3:11" ht="15.75" thickBot="1" x14ac:dyDescent="0.3"/>
    <row r="87" spans="3:11" ht="15.75" thickBot="1" x14ac:dyDescent="0.3">
      <c r="C87" s="157" t="s">
        <v>53</v>
      </c>
      <c r="D87" s="372">
        <f>SUM(F94:F110)</f>
        <v>221701.28899999999</v>
      </c>
      <c r="F87" s="70"/>
      <c r="G87" s="79"/>
      <c r="H87" s="70"/>
      <c r="I87" s="70"/>
    </row>
    <row r="88" spans="3:11" x14ac:dyDescent="0.25">
      <c r="C88" s="70"/>
      <c r="D88" s="31"/>
      <c r="E88" s="93"/>
      <c r="F88" s="93"/>
      <c r="G88" s="93"/>
      <c r="H88" s="76"/>
      <c r="I88" s="76"/>
      <c r="J88" s="76"/>
      <c r="K88" s="112"/>
    </row>
    <row r="89" spans="3:11" x14ac:dyDescent="0.25">
      <c r="C89" s="70"/>
      <c r="D89" s="31"/>
      <c r="E89" s="93"/>
      <c r="F89" s="93"/>
      <c r="G89" s="93"/>
      <c r="H89" s="76"/>
      <c r="I89" s="76"/>
      <c r="J89" s="76"/>
      <c r="K89" s="112"/>
    </row>
    <row r="90" spans="3:11" ht="15.75" x14ac:dyDescent="0.25">
      <c r="C90" s="202" t="s">
        <v>390</v>
      </c>
      <c r="D90" s="368" t="str">
        <f>'7. Lo Esencial de la Reforma U.'!G13</f>
        <v>2.3.2</v>
      </c>
      <c r="E90" s="93"/>
      <c r="F90" s="93"/>
      <c r="G90" s="93"/>
      <c r="H90" s="76"/>
      <c r="I90" s="76"/>
      <c r="J90" s="76"/>
      <c r="K90" s="112"/>
    </row>
    <row r="91" spans="3:11" ht="18.75" x14ac:dyDescent="0.25">
      <c r="C91" s="210" t="str">
        <f>IFERROR(VLOOKUP(D90,'1. Desarrollo e Innov. Curricu.'!$F:$G,2,FALSE),IFERROR(VLOOKUP(D90,'2. Investigación Científica'!$F:$G,2,FALSE),IFERROR(VLOOKUP(D90,'3. Vinculación Univ. Sociedad'!$F:$G,2,FALSE),IFERROR(VLOOKUP(D90,'4. Docencia y Profesorado Univ.'!$F:$G,2,FALSE),IFERROR(VLOOKUP(D90,'5. Estudiantes y Graduados'!$F:$G,2,FALSE),IFERROR(VLOOKUP(D90,'11. Gestion Administrativa'!$F:$G,2,FALSE),IFERROR(VLOOKUP(D90,'13. Gestión Académica'!$F:$G,2,FALSE),IFERROR(VLOOKUP(D90,'9. Asegura. de la Calid. y M'!$F:$G,2,FALSE),IFERROR(VLOOKUP(D90,'6. Gestión del Conocimiento'!$F:$G,2,FALSE),IFERROR(VLOOKUP(D90,'15. Gobernabilidad y Proceso...'!$G:$H,2,FALSE),IFERROR(VLOOKUP(D90,'12. Gestión del Talento Humano'!$F:$G,2,FALSE),IFERROR(VLOOKUP(D90,'14. Internacional... de la E.S.'!$F:$G,2,FALSE),IFERROR(VLOOKUP(D90,'10. Posgrado'!$F:$G,2,FALSE),IFERROR(VLOOKUP(D90,'17. Gestión TIC'!$F:$G,2,FALSE),IFERROR(VLOOKUP(D90,'16. Desa. del Sistema Educ.Sup.'!$F:$G,2,FALSE),IFERROR(VLOOKUP(D90,'8. Cultura de Inno. Insti...'!$F:$G,2,FALSE),VLOOKUP(D90,'7. Lo Esencial de la Reforma U.'!$G:$H,2,0)))))))))))))))))</f>
        <v>2.3.2 a) Acreditación del Comisionado Universitario como miembros de la REDDU 2.3.2 b) Participación del Titular del Comisionado Universitario y un acompañante a la Asamblea Ordinaria y Extraordinaria de la REDDU (posiblemente en el mes de octubre 2016). 2,3.2 c ) Viáticos  para participar en  materia de DD.HH la oficina del CU.</v>
      </c>
      <c r="D91" s="31"/>
      <c r="E91" s="93"/>
      <c r="F91" s="93"/>
      <c r="G91" s="93"/>
      <c r="H91" s="76"/>
      <c r="I91" s="76"/>
      <c r="J91" s="76"/>
      <c r="K91" s="112"/>
    </row>
    <row r="92" spans="3:11" ht="15.75" thickBot="1" x14ac:dyDescent="0.3">
      <c r="F92" s="93"/>
      <c r="G92" s="76"/>
      <c r="H92" s="76"/>
      <c r="I92" s="76"/>
    </row>
    <row r="93" spans="3:11" ht="15.75" thickBot="1" x14ac:dyDescent="0.3">
      <c r="C93" s="129" t="s">
        <v>44</v>
      </c>
      <c r="D93" s="129" t="s">
        <v>55</v>
      </c>
      <c r="E93" s="136" t="s">
        <v>57</v>
      </c>
      <c r="F93" s="135" t="s">
        <v>27</v>
      </c>
      <c r="G93" s="133" t="s">
        <v>129</v>
      </c>
      <c r="H93" s="136" t="s">
        <v>46</v>
      </c>
      <c r="I93" s="133" t="s">
        <v>130</v>
      </c>
      <c r="J93" s="133" t="s">
        <v>408</v>
      </c>
      <c r="K93" s="133" t="s">
        <v>409</v>
      </c>
    </row>
    <row r="94" spans="3:11" x14ac:dyDescent="0.25">
      <c r="C94" s="220" t="s">
        <v>437</v>
      </c>
      <c r="D94" s="221"/>
      <c r="E94" s="219">
        <f>HLOOKUP(C94,$AH$2:$BU$3,2,0)</f>
        <v>620</v>
      </c>
      <c r="F94" s="97">
        <f t="shared" ref="F94:F110" si="12">D94*E94</f>
        <v>0</v>
      </c>
      <c r="G94" s="161"/>
      <c r="H94" s="142"/>
      <c r="I94" s="130" t="e">
        <f>VLOOKUP(H94,Presupuesto!$B$11:$C$565,2,0)</f>
        <v>#N/A</v>
      </c>
      <c r="J94" s="218" t="s">
        <v>1359</v>
      </c>
      <c r="K94" s="98" t="s">
        <v>392</v>
      </c>
    </row>
    <row r="95" spans="3:11" x14ac:dyDescent="0.25">
      <c r="C95" s="141"/>
      <c r="D95" s="158"/>
      <c r="E95" s="123"/>
      <c r="F95" s="97">
        <f t="shared" si="12"/>
        <v>0</v>
      </c>
      <c r="G95" s="161"/>
      <c r="H95" s="142"/>
      <c r="I95" s="130" t="e">
        <f>VLOOKUP(H95,Presupuesto!$B$11:$C$565,2,0)</f>
        <v>#N/A</v>
      </c>
      <c r="J95" s="98" t="str">
        <f>$J$94</f>
        <v>Lo Esencial de la Reforma Universitaria</v>
      </c>
      <c r="K95" s="98" t="s">
        <v>410</v>
      </c>
    </row>
    <row r="96" spans="3:11" x14ac:dyDescent="0.25">
      <c r="C96" s="141"/>
      <c r="D96" s="158"/>
      <c r="E96" s="123"/>
      <c r="F96" s="97">
        <f t="shared" si="12"/>
        <v>0</v>
      </c>
      <c r="G96" s="161"/>
      <c r="H96" s="142"/>
      <c r="I96" s="130" t="e">
        <f>VLOOKUP(H96,Presupuesto!$B$11:$C$565,2,0)</f>
        <v>#N/A</v>
      </c>
      <c r="J96" s="98" t="str">
        <f t="shared" ref="J96:J110" si="13">$J$94</f>
        <v>Lo Esencial de la Reforma Universitaria</v>
      </c>
      <c r="K96" s="98" t="s">
        <v>410</v>
      </c>
    </row>
    <row r="97" spans="3:11" x14ac:dyDescent="0.25">
      <c r="C97" s="141"/>
      <c r="D97" s="158"/>
      <c r="E97" s="123"/>
      <c r="F97" s="97">
        <f t="shared" si="12"/>
        <v>0</v>
      </c>
      <c r="G97" s="161" t="s">
        <v>127</v>
      </c>
      <c r="H97" s="142" t="s">
        <v>940</v>
      </c>
      <c r="I97" s="130" t="str">
        <f>VLOOKUP(H97,Presupuesto!$B$11:$C$565,2,0)</f>
        <v>UTILES DE ESCRITORIO, OFICINA Y ENSE¥ANZA</v>
      </c>
      <c r="J97" s="98" t="str">
        <f t="shared" si="13"/>
        <v>Lo Esencial de la Reforma Universitaria</v>
      </c>
      <c r="K97" s="98" t="s">
        <v>410</v>
      </c>
    </row>
    <row r="98" spans="3:11" x14ac:dyDescent="0.25">
      <c r="C98" s="141" t="s">
        <v>1765</v>
      </c>
      <c r="D98" s="158">
        <v>3</v>
      </c>
      <c r="E98" s="123">
        <v>25000</v>
      </c>
      <c r="F98" s="97">
        <f t="shared" si="12"/>
        <v>75000</v>
      </c>
      <c r="G98" s="161" t="s">
        <v>127</v>
      </c>
      <c r="H98" s="142" t="s">
        <v>753</v>
      </c>
      <c r="I98" s="130" t="str">
        <f>VLOOKUP(H98,[1]Presupuesto!$B$11:$C$565,2,0)</f>
        <v>PASAJES AL EXTERIOR</v>
      </c>
      <c r="J98" s="98" t="s">
        <v>1359</v>
      </c>
      <c r="K98" s="98" t="s">
        <v>399</v>
      </c>
    </row>
    <row r="99" spans="3:11" x14ac:dyDescent="0.25">
      <c r="C99" s="141" t="s">
        <v>1764</v>
      </c>
      <c r="D99" s="158">
        <v>1</v>
      </c>
      <c r="E99" s="123">
        <v>20000</v>
      </c>
      <c r="F99" s="97">
        <f t="shared" si="12"/>
        <v>20000</v>
      </c>
      <c r="G99" s="161" t="s">
        <v>127</v>
      </c>
      <c r="H99" s="142" t="s">
        <v>1184</v>
      </c>
      <c r="I99" s="130" t="str">
        <f>VLOOKUP(H99,[1]Presupuesto!$B$11:$C$565,2,0)</f>
        <v>UNION DE UNIVERSIDADES DE LA UDUAL</v>
      </c>
      <c r="J99" s="98" t="s">
        <v>1359</v>
      </c>
      <c r="K99" s="98" t="s">
        <v>399</v>
      </c>
    </row>
    <row r="100" spans="3:11" x14ac:dyDescent="0.25">
      <c r="C100" s="141"/>
      <c r="D100" s="158"/>
      <c r="E100" s="123"/>
      <c r="F100" s="97">
        <f t="shared" si="12"/>
        <v>0</v>
      </c>
      <c r="G100" s="161"/>
      <c r="H100" s="142"/>
      <c r="I100" s="130" t="e">
        <f>VLOOKUP(H100,Presupuesto!$B$11:$C$565,2,0)</f>
        <v>#N/A</v>
      </c>
      <c r="J100" s="98" t="str">
        <f t="shared" si="13"/>
        <v>Lo Esencial de la Reforma Universitaria</v>
      </c>
      <c r="K100" s="98" t="s">
        <v>410</v>
      </c>
    </row>
    <row r="101" spans="3:11" ht="15.75" thickBot="1" x14ac:dyDescent="0.3">
      <c r="C101" s="141"/>
      <c r="D101" s="158"/>
      <c r="E101" s="123"/>
      <c r="F101" s="97">
        <f t="shared" si="12"/>
        <v>0</v>
      </c>
      <c r="G101" s="161"/>
      <c r="H101" s="142"/>
      <c r="I101" s="130" t="e">
        <f>VLOOKUP(H101,Presupuesto!$B$11:$C$565,2,0)</f>
        <v>#N/A</v>
      </c>
      <c r="J101" s="98" t="str">
        <f t="shared" si="13"/>
        <v>Lo Esencial de la Reforma Universitaria</v>
      </c>
      <c r="K101" s="98" t="s">
        <v>410</v>
      </c>
    </row>
    <row r="102" spans="3:11" ht="15.75" thickBot="1" x14ac:dyDescent="0.3">
      <c r="C102" s="574" t="s">
        <v>452</v>
      </c>
      <c r="D102" s="575">
        <v>5.5</v>
      </c>
      <c r="E102" s="219">
        <f>HLOOKUP(C102,$AH$2:$BU$3,2,0)</f>
        <v>4742.8290000000006</v>
      </c>
      <c r="F102" s="598">
        <f>D102*E102</f>
        <v>26085.559500000003</v>
      </c>
      <c r="G102" s="161" t="s">
        <v>127</v>
      </c>
      <c r="H102" s="142" t="s">
        <v>765</v>
      </c>
      <c r="I102" s="130" t="str">
        <f>VLOOKUP(H102,[1]Presupuesto!$B$11:$C$565,2,0)</f>
        <v>VIATICOS AL EXTERIOR</v>
      </c>
      <c r="J102" s="218" t="s">
        <v>1359</v>
      </c>
      <c r="K102" s="98" t="s">
        <v>400</v>
      </c>
    </row>
    <row r="103" spans="3:11" ht="15.75" thickBot="1" x14ac:dyDescent="0.3">
      <c r="C103" s="574" t="s">
        <v>440</v>
      </c>
      <c r="D103" s="575">
        <v>5.5</v>
      </c>
      <c r="E103" s="219">
        <f>HLOOKUP(C103,$AH$2:$BU$3,2,0)</f>
        <v>6775.47</v>
      </c>
      <c r="F103" s="97">
        <f t="shared" si="12"/>
        <v>37265.084999999999</v>
      </c>
      <c r="G103" s="161" t="s">
        <v>127</v>
      </c>
      <c r="H103" s="142" t="s">
        <v>765</v>
      </c>
      <c r="I103" s="130" t="str">
        <f>VLOOKUP(H103,[1]Presupuesto!$B$11:$C$565,2,0)</f>
        <v>VIATICOS AL EXTERIOR</v>
      </c>
      <c r="J103" s="218" t="s">
        <v>1359</v>
      </c>
      <c r="K103" s="98" t="s">
        <v>400</v>
      </c>
    </row>
    <row r="104" spans="3:11" x14ac:dyDescent="0.25">
      <c r="C104" s="574" t="s">
        <v>438</v>
      </c>
      <c r="D104" s="575">
        <v>11</v>
      </c>
      <c r="E104" s="219">
        <f>HLOOKUP(C104,$AH$2:$BU$3,2,0)</f>
        <v>5759.1495000000004</v>
      </c>
      <c r="F104" s="97">
        <f t="shared" si="12"/>
        <v>63350.644500000002</v>
      </c>
      <c r="G104" s="161" t="s">
        <v>127</v>
      </c>
      <c r="H104" s="142" t="s">
        <v>765</v>
      </c>
      <c r="I104" s="130" t="str">
        <f>VLOOKUP(H104,[1]Presupuesto!$B$11:$C$565,2,0)</f>
        <v>VIATICOS AL EXTERIOR</v>
      </c>
      <c r="J104" s="218" t="s">
        <v>1359</v>
      </c>
      <c r="K104" s="98" t="s">
        <v>398</v>
      </c>
    </row>
    <row r="105" spans="3:11" x14ac:dyDescent="0.25">
      <c r="C105" s="141"/>
      <c r="D105" s="158"/>
      <c r="E105" s="123"/>
      <c r="F105" s="97">
        <f t="shared" si="12"/>
        <v>0</v>
      </c>
      <c r="G105" s="161"/>
      <c r="H105" s="142"/>
      <c r="I105" s="130" t="e">
        <f>VLOOKUP(H105,Presupuesto!$B$11:$C$565,2,0)</f>
        <v>#N/A</v>
      </c>
      <c r="J105" s="98" t="str">
        <f t="shared" si="13"/>
        <v>Lo Esencial de la Reforma Universitaria</v>
      </c>
      <c r="K105" s="98" t="s">
        <v>410</v>
      </c>
    </row>
    <row r="106" spans="3:11" x14ac:dyDescent="0.25">
      <c r="C106" s="141"/>
      <c r="D106" s="158"/>
      <c r="E106" s="123"/>
      <c r="F106" s="97">
        <f t="shared" si="12"/>
        <v>0</v>
      </c>
      <c r="G106" s="161"/>
      <c r="H106" s="142"/>
      <c r="I106" s="130" t="e">
        <f>VLOOKUP(H106,Presupuesto!$B$11:$C$565,2,0)</f>
        <v>#N/A</v>
      </c>
      <c r="J106" s="98" t="str">
        <f t="shared" si="13"/>
        <v>Lo Esencial de la Reforma Universitaria</v>
      </c>
      <c r="K106" s="98" t="s">
        <v>410</v>
      </c>
    </row>
    <row r="107" spans="3:11" x14ac:dyDescent="0.25">
      <c r="C107" s="141"/>
      <c r="D107" s="158"/>
      <c r="E107" s="123"/>
      <c r="F107" s="97">
        <f t="shared" si="12"/>
        <v>0</v>
      </c>
      <c r="G107" s="161"/>
      <c r="H107" s="142"/>
      <c r="I107" s="130" t="e">
        <f>VLOOKUP(H107,Presupuesto!$B$11:$C$565,2,0)</f>
        <v>#N/A</v>
      </c>
      <c r="J107" s="98" t="str">
        <f t="shared" si="13"/>
        <v>Lo Esencial de la Reforma Universitaria</v>
      </c>
      <c r="K107" s="98" t="s">
        <v>410</v>
      </c>
    </row>
    <row r="108" spans="3:11" x14ac:dyDescent="0.25">
      <c r="C108" s="141"/>
      <c r="D108" s="158"/>
      <c r="E108" s="123"/>
      <c r="F108" s="97">
        <f t="shared" si="12"/>
        <v>0</v>
      </c>
      <c r="G108" s="161"/>
      <c r="H108" s="142"/>
      <c r="I108" s="130" t="e">
        <f>VLOOKUP(H108,Presupuesto!$B$11:$C$565,2,0)</f>
        <v>#N/A</v>
      </c>
      <c r="J108" s="98" t="str">
        <f t="shared" si="13"/>
        <v>Lo Esencial de la Reforma Universitaria</v>
      </c>
      <c r="K108" s="98" t="s">
        <v>410</v>
      </c>
    </row>
    <row r="109" spans="3:11" x14ac:dyDescent="0.25">
      <c r="C109" s="141"/>
      <c r="D109" s="158"/>
      <c r="E109" s="123"/>
      <c r="F109" s="97">
        <f t="shared" si="12"/>
        <v>0</v>
      </c>
      <c r="G109" s="161"/>
      <c r="H109" s="142"/>
      <c r="I109" s="130" t="e">
        <f>VLOOKUP(H109,Presupuesto!$B$11:$C$565,2,0)</f>
        <v>#N/A</v>
      </c>
      <c r="J109" s="98" t="str">
        <f t="shared" si="13"/>
        <v>Lo Esencial de la Reforma Universitaria</v>
      </c>
      <c r="K109" s="98" t="s">
        <v>410</v>
      </c>
    </row>
    <row r="110" spans="3:11" ht="15.75" thickBot="1" x14ac:dyDescent="0.3">
      <c r="C110" s="147"/>
      <c r="D110" s="159"/>
      <c r="E110" s="103"/>
      <c r="F110" s="105">
        <f t="shared" si="12"/>
        <v>0</v>
      </c>
      <c r="G110" s="162"/>
      <c r="H110" s="148"/>
      <c r="I110" s="132" t="e">
        <f>VLOOKUP(H110,Presupuesto!$B$11:$C$565,2,0)</f>
        <v>#N/A</v>
      </c>
      <c r="J110" s="106" t="str">
        <f t="shared" si="13"/>
        <v>Lo Esencial de la Reforma Universitaria</v>
      </c>
      <c r="K110" s="124" t="s">
        <v>392</v>
      </c>
    </row>
    <row r="112" spans="3:11" ht="15.75" thickBot="1" x14ac:dyDescent="0.3">
      <c r="F112" s="90"/>
      <c r="G112" s="89"/>
      <c r="H112" s="90"/>
      <c r="I112" s="90"/>
    </row>
    <row r="113" spans="3:11" ht="15.75" thickBot="1" x14ac:dyDescent="0.3">
      <c r="C113" s="157" t="s">
        <v>53</v>
      </c>
      <c r="D113" s="372">
        <f>SUM(F120:F126)</f>
        <v>30000</v>
      </c>
      <c r="F113" s="70"/>
      <c r="G113" s="79"/>
      <c r="H113" s="70"/>
      <c r="I113" s="70"/>
    </row>
    <row r="114" spans="3:11" x14ac:dyDescent="0.25">
      <c r="C114" s="70"/>
      <c r="D114" s="31"/>
      <c r="E114" s="93"/>
      <c r="F114" s="93"/>
      <c r="G114" s="93"/>
      <c r="H114" s="76"/>
      <c r="I114" s="76"/>
      <c r="J114" s="76"/>
      <c r="K114" s="112"/>
    </row>
    <row r="115" spans="3:11" x14ac:dyDescent="0.25">
      <c r="C115" s="70"/>
      <c r="D115" s="31"/>
      <c r="E115" s="93"/>
      <c r="F115" s="595"/>
      <c r="G115" s="595"/>
      <c r="H115" s="76"/>
      <c r="I115" s="76"/>
      <c r="J115" s="76"/>
      <c r="K115" s="112"/>
    </row>
    <row r="116" spans="3:11" ht="15.75" x14ac:dyDescent="0.25">
      <c r="C116" s="202" t="s">
        <v>390</v>
      </c>
      <c r="D116" s="368" t="str">
        <f>'7. Lo Esencial de la Reforma U.'!G15</f>
        <v>2.3.4</v>
      </c>
      <c r="E116" s="93"/>
      <c r="F116" s="93"/>
      <c r="G116" s="93"/>
      <c r="H116" s="76"/>
      <c r="I116" s="76"/>
      <c r="J116" s="76"/>
      <c r="K116" s="112"/>
    </row>
    <row r="117" spans="3:11" ht="18.75" x14ac:dyDescent="0.25">
      <c r="C117" s="210" t="str">
        <f>IFERROR(VLOOKUP(D116,'1. Desarrollo e Innov. Curricu.'!$F:$G,2,FALSE),IFERROR(VLOOKUP(D116,'2. Investigación Científica'!$F:$G,2,FALSE),IFERROR(VLOOKUP(D116,'3. Vinculación Univ. Sociedad'!$F:$G,2,FALSE),IFERROR(VLOOKUP(D116,'4. Docencia y Profesorado Univ.'!$F:$G,2,FALSE),IFERROR(VLOOKUP(D116,'5. Estudiantes y Graduados'!$F:$G,2,FALSE),IFERROR(VLOOKUP(D116,'11. Gestion Administrativa'!$F:$G,2,FALSE),IFERROR(VLOOKUP(D116,'13. Gestión Académica'!$F:$G,2,FALSE),IFERROR(VLOOKUP(D116,'9. Asegura. de la Calid. y M'!$F:$G,2,FALSE),IFERROR(VLOOKUP(D116,'6. Gestión del Conocimiento'!$F:$G,2,FALSE),IFERROR(VLOOKUP(D116,'15. Gobernabilidad y Proceso...'!$G:$H,2,FALSE),IFERROR(VLOOKUP(D116,'12. Gestión del Talento Humano'!$F:$G,2,FALSE),IFERROR(VLOOKUP(D116,'14. Internacional... de la E.S.'!$F:$G,2,FALSE),IFERROR(VLOOKUP(D116,'10. Posgrado'!$F:$G,2,FALSE),IFERROR(VLOOKUP(D116,'17. Gestión TIC'!$F:$G,2,FALSE),IFERROR(VLOOKUP(D116,'16. Desa. del Sistema Educ.Sup.'!$F:$G,2,FALSE),IFERROR(VLOOKUP(D116,'8. Cultura de Inno. Insti...'!$F:$G,2,FALSE),VLOOKUP(D116,'7. Lo Esencial de la Reforma U.'!$G:$H,2,0)))))))))))))))))</f>
        <v xml:space="preserve"> Compra de Bibliografía sobre normativas de la Universidad Leyes y Códigos en relación y libros sobre temática de Derechos y libertades Universitarias. </v>
      </c>
      <c r="D117" s="31"/>
      <c r="E117" s="93"/>
      <c r="F117" s="93"/>
      <c r="G117" s="93"/>
      <c r="H117" s="76"/>
      <c r="I117" s="76"/>
      <c r="J117" s="76"/>
      <c r="K117" s="112"/>
    </row>
    <row r="118" spans="3:11" ht="15.75" thickBot="1" x14ac:dyDescent="0.3">
      <c r="F118" s="93"/>
      <c r="G118" s="76"/>
      <c r="H118" s="76"/>
      <c r="I118" s="76"/>
    </row>
    <row r="119" spans="3:11" ht="15.75" thickBot="1" x14ac:dyDescent="0.3">
      <c r="C119" s="129" t="s">
        <v>44</v>
      </c>
      <c r="D119" s="129" t="s">
        <v>55</v>
      </c>
      <c r="E119" s="136" t="s">
        <v>57</v>
      </c>
      <c r="F119" s="135" t="s">
        <v>27</v>
      </c>
      <c r="G119" s="133" t="s">
        <v>129</v>
      </c>
      <c r="H119" s="136" t="s">
        <v>46</v>
      </c>
      <c r="I119" s="133" t="s">
        <v>130</v>
      </c>
      <c r="J119" s="133" t="s">
        <v>408</v>
      </c>
      <c r="K119" s="133" t="s">
        <v>409</v>
      </c>
    </row>
    <row r="120" spans="3:11" x14ac:dyDescent="0.25">
      <c r="C120" s="220" t="s">
        <v>437</v>
      </c>
      <c r="D120" s="221"/>
      <c r="E120" s="219">
        <f>HLOOKUP(C120,$AH$2:$BU$3,2,0)</f>
        <v>620</v>
      </c>
      <c r="F120" s="97">
        <f t="shared" ref="F120:F126" si="14">D120*E120</f>
        <v>0</v>
      </c>
      <c r="G120" s="161"/>
      <c r="H120" s="142"/>
      <c r="I120" s="130" t="e">
        <f>VLOOKUP(H120,Presupuesto!$B$11:$C$565,2,0)</f>
        <v>#N/A</v>
      </c>
      <c r="J120" s="218" t="s">
        <v>1468</v>
      </c>
      <c r="K120" s="98" t="s">
        <v>392</v>
      </c>
    </row>
    <row r="121" spans="3:11" x14ac:dyDescent="0.25">
      <c r="C121" s="141"/>
      <c r="D121" s="158"/>
      <c r="E121" s="123"/>
      <c r="F121" s="97">
        <f t="shared" si="14"/>
        <v>0</v>
      </c>
      <c r="G121" s="161"/>
      <c r="H121" s="142"/>
      <c r="I121" s="130" t="e">
        <f>VLOOKUP(H121,Presupuesto!$B$11:$C$565,2,0)</f>
        <v>#N/A</v>
      </c>
      <c r="J121" s="98" t="str">
        <f>$J$120</f>
        <v>Desarrollo del Sistema de Educación Superior</v>
      </c>
      <c r="K121" s="98" t="s">
        <v>410</v>
      </c>
    </row>
    <row r="122" spans="3:11" x14ac:dyDescent="0.25">
      <c r="C122" s="141" t="s">
        <v>1766</v>
      </c>
      <c r="D122" s="158">
        <v>1</v>
      </c>
      <c r="E122" s="123">
        <v>30000</v>
      </c>
      <c r="F122" s="97">
        <f t="shared" si="14"/>
        <v>30000</v>
      </c>
      <c r="G122" s="161" t="s">
        <v>127</v>
      </c>
      <c r="H122" s="142" t="s">
        <v>315</v>
      </c>
      <c r="I122" s="130" t="str">
        <f>VLOOKUP(H122,Presupuesto!$B$11:$C$565,2,0)</f>
        <v>LIBROS, REVISTAS Y PERIODICOS (33500-00)</v>
      </c>
      <c r="J122" s="218" t="s">
        <v>1359</v>
      </c>
      <c r="K122" s="98" t="s">
        <v>397</v>
      </c>
    </row>
    <row r="123" spans="3:11" x14ac:dyDescent="0.25">
      <c r="C123" s="145"/>
      <c r="D123" s="151"/>
      <c r="E123" s="118"/>
      <c r="F123" s="97">
        <f t="shared" si="14"/>
        <v>0</v>
      </c>
      <c r="G123" s="161"/>
      <c r="H123" s="146"/>
      <c r="I123" s="130" t="e">
        <f>VLOOKUP(H123,Presupuesto!$B$11:$C$565,2,0)</f>
        <v>#N/A</v>
      </c>
      <c r="J123" s="98" t="str">
        <f t="shared" ref="J123:J126" si="15">$J$120</f>
        <v>Desarrollo del Sistema de Educación Superior</v>
      </c>
      <c r="K123" s="98" t="s">
        <v>410</v>
      </c>
    </row>
    <row r="124" spans="3:11" x14ac:dyDescent="0.25">
      <c r="C124" s="145"/>
      <c r="D124" s="151"/>
      <c r="E124" s="118"/>
      <c r="F124" s="97">
        <f t="shared" si="14"/>
        <v>0</v>
      </c>
      <c r="G124" s="161"/>
      <c r="H124" s="146"/>
      <c r="I124" s="130" t="e">
        <f>VLOOKUP(H124,Presupuesto!$B$11:$C$565,2,0)</f>
        <v>#N/A</v>
      </c>
      <c r="J124" s="98" t="str">
        <f t="shared" si="15"/>
        <v>Desarrollo del Sistema de Educación Superior</v>
      </c>
      <c r="K124" s="98" t="s">
        <v>410</v>
      </c>
    </row>
    <row r="125" spans="3:11" x14ac:dyDescent="0.25">
      <c r="C125" s="145"/>
      <c r="D125" s="151"/>
      <c r="E125" s="118"/>
      <c r="F125" s="97">
        <f t="shared" si="14"/>
        <v>0</v>
      </c>
      <c r="G125" s="161"/>
      <c r="H125" s="146"/>
      <c r="I125" s="130" t="e">
        <f>VLOOKUP(H125,Presupuesto!$B$11:$C$565,2,0)</f>
        <v>#N/A</v>
      </c>
      <c r="J125" s="98" t="str">
        <f t="shared" si="15"/>
        <v>Desarrollo del Sistema de Educación Superior</v>
      </c>
      <c r="K125" s="98" t="s">
        <v>410</v>
      </c>
    </row>
    <row r="126" spans="3:11" ht="15.75" thickBot="1" x14ac:dyDescent="0.3">
      <c r="C126" s="147"/>
      <c r="D126" s="159"/>
      <c r="E126" s="103"/>
      <c r="F126" s="105">
        <f t="shared" si="14"/>
        <v>0</v>
      </c>
      <c r="G126" s="162"/>
      <c r="H126" s="148"/>
      <c r="I126" s="132" t="e">
        <f>VLOOKUP(H126,Presupuesto!$B$11:$C$565,2,0)</f>
        <v>#N/A</v>
      </c>
      <c r="J126" s="106" t="str">
        <f t="shared" si="15"/>
        <v>Desarrollo del Sistema de Educación Superior</v>
      </c>
      <c r="K126" s="124" t="s">
        <v>392</v>
      </c>
    </row>
    <row r="128" spans="3:11" ht="15.75" thickBot="1" x14ac:dyDescent="0.3"/>
    <row r="129" spans="3:11" ht="15.75" thickBot="1" x14ac:dyDescent="0.3">
      <c r="C129" s="157" t="s">
        <v>53</v>
      </c>
      <c r="D129" s="372">
        <f>SUM(F136:F170)</f>
        <v>515000</v>
      </c>
      <c r="F129" s="70"/>
      <c r="G129" s="79"/>
      <c r="H129" s="70"/>
      <c r="I129" s="70"/>
    </row>
    <row r="130" spans="3:11" x14ac:dyDescent="0.25">
      <c r="C130" s="70"/>
      <c r="D130" s="31"/>
      <c r="E130" s="93"/>
      <c r="F130" s="93"/>
      <c r="G130" s="93"/>
      <c r="H130" s="76"/>
      <c r="I130" s="76"/>
      <c r="J130" s="76"/>
      <c r="K130" s="112"/>
    </row>
    <row r="131" spans="3:11" x14ac:dyDescent="0.25">
      <c r="C131" s="70"/>
      <c r="D131" s="31"/>
      <c r="E131" s="93"/>
      <c r="F131" s="93"/>
      <c r="G131" s="93"/>
      <c r="H131" s="76"/>
      <c r="I131" s="76"/>
      <c r="J131" s="76"/>
      <c r="K131" s="112"/>
    </row>
    <row r="132" spans="3:11" ht="15.75" x14ac:dyDescent="0.25">
      <c r="C132" s="202" t="s">
        <v>390</v>
      </c>
      <c r="D132" s="368" t="str">
        <f>'15. Gobernabilidad y Proceso...'!G10</f>
        <v>3.1.1</v>
      </c>
      <c r="E132" s="93"/>
      <c r="F132" s="93"/>
      <c r="G132" s="93"/>
      <c r="H132" s="76"/>
      <c r="I132" s="76"/>
      <c r="J132" s="76"/>
      <c r="K132" s="112"/>
    </row>
    <row r="133" spans="3:11" ht="18.75" x14ac:dyDescent="0.25">
      <c r="C133" s="210" t="str">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Graduados'!$F:$G,2,FALSE),IFERROR(VLOOKUP(D132,'11. Gestion Administrativa'!$F:$G,2,FALSE),IFERROR(VLOOKUP(D132,'13. Gestión Académica'!$F:$G,2,FALSE),IFERROR(VLOOKUP(D132,'9. Asegura. de la Calid. y M'!$F:$G,2,FALSE),IFERROR(VLOOKUP(D132,'6. Gestión del Conocimiento'!$F:$G,2,FALSE),IFERROR(VLOOKUP(D132,'15. Gobernabilidad y Proceso...'!$G:$H,2,FALSE),IFERROR(VLOOKUP(D132,'12. Gestión del Talento Humano'!$F:$G,2,FALSE),IFERROR(VLOOKUP(D132,'14. Internacional... de la E.S.'!$F:$G,2,FALSE),IFERROR(VLOOKUP(D132,'10. Posgrado'!$F:$G,2,FALSE),IFERROR(VLOOKUP(D132,'17. Gestión TIC'!$F:$G,2,FALSE),IFERROR(VLOOKUP(D132,'16. Desa. del Sistema Educ.Sup.'!$F:$G,2,FALSE),IFERROR(VLOOKUP(D132,'8. Cultura de Inno. Insti...'!$F:$G,2,FALSE),VLOOKUP(D132,'7. Lo Esencial de la Reforma U.'!$G:$H,2,0)))))))))))))))))</f>
        <v>3.1.1 a) Diseño e impresión de materiales promocionales para la socializacion de la Figura del CU, Unidad contra el Acoso Sexual, al inicio de cada período académico con el fin de prevenir, sancionar y erradicar el acoso sexual en la UNAH, en Ciudad Universitaria (mediante el equipo de trabajo del comisionado univertario, Facilitadores en DDHH) y Centros Regionales y Facultad de Ciencias Médicas (a través de las Juntas Directivas Estudiantiles) involucrando a todo el personal. b) Participación en los Cursos de Introducción a la Vida Universitaria.</v>
      </c>
      <c r="D133" s="31"/>
      <c r="E133" s="93"/>
      <c r="F133" s="93"/>
      <c r="G133" s="93"/>
      <c r="H133" s="76"/>
      <c r="I133" s="76"/>
      <c r="J133" s="76"/>
      <c r="K133" s="112"/>
    </row>
    <row r="134" spans="3:11" ht="15.75" thickBot="1" x14ac:dyDescent="0.3">
      <c r="F134" s="93"/>
      <c r="G134" s="76"/>
      <c r="H134" s="76"/>
      <c r="I134" s="76"/>
    </row>
    <row r="135" spans="3:11" ht="15.75" thickBot="1" x14ac:dyDescent="0.3">
      <c r="C135" s="129" t="s">
        <v>44</v>
      </c>
      <c r="D135" s="129" t="s">
        <v>55</v>
      </c>
      <c r="E135" s="136" t="s">
        <v>57</v>
      </c>
      <c r="F135" s="135" t="s">
        <v>27</v>
      </c>
      <c r="G135" s="133" t="s">
        <v>129</v>
      </c>
      <c r="H135" s="136" t="s">
        <v>46</v>
      </c>
      <c r="I135" s="133" t="s">
        <v>130</v>
      </c>
      <c r="J135" s="133" t="s">
        <v>408</v>
      </c>
      <c r="K135" s="133" t="s">
        <v>409</v>
      </c>
    </row>
    <row r="136" spans="3:11" x14ac:dyDescent="0.25">
      <c r="C136" s="220" t="s">
        <v>437</v>
      </c>
      <c r="D136" s="221"/>
      <c r="E136" s="219">
        <f>HLOOKUP(C136,$AH$2:$BU$3,2,0)</f>
        <v>620</v>
      </c>
      <c r="F136" s="97">
        <f t="shared" ref="F136:F170" si="16">D136*E136</f>
        <v>0</v>
      </c>
      <c r="G136" s="161"/>
      <c r="H136" s="142"/>
      <c r="I136" s="130" t="e">
        <f>VLOOKUP(H136,Presupuesto!$B$11:$C$565,2,0)</f>
        <v>#N/A</v>
      </c>
      <c r="J136" s="218" t="s">
        <v>1468</v>
      </c>
      <c r="K136" s="98" t="s">
        <v>392</v>
      </c>
    </row>
    <row r="137" spans="3:11" x14ac:dyDescent="0.25">
      <c r="C137" s="141" t="s">
        <v>1869</v>
      </c>
      <c r="D137" s="158">
        <v>10000</v>
      </c>
      <c r="E137" s="123">
        <v>5</v>
      </c>
      <c r="F137" s="97">
        <f t="shared" si="16"/>
        <v>50000</v>
      </c>
      <c r="G137" s="161" t="s">
        <v>127</v>
      </c>
      <c r="H137" s="142" t="s">
        <v>715</v>
      </c>
      <c r="I137" s="130" t="str">
        <f>VLOOKUP(H137,Presupuesto!$B$11:$C$565,2,0)</f>
        <v>SERVICIOS DE IMPRENTA PUBLIC.Y REPRODUCCION</v>
      </c>
      <c r="J137" s="98" t="s">
        <v>1366</v>
      </c>
      <c r="K137" s="98" t="s">
        <v>393</v>
      </c>
    </row>
    <row r="138" spans="3:11" x14ac:dyDescent="0.25">
      <c r="C138" s="141" t="s">
        <v>1870</v>
      </c>
      <c r="D138" s="158">
        <v>10000</v>
      </c>
      <c r="E138" s="123">
        <v>1.2</v>
      </c>
      <c r="F138" s="97">
        <f t="shared" si="16"/>
        <v>12000</v>
      </c>
      <c r="G138" s="161" t="s">
        <v>127</v>
      </c>
      <c r="H138" s="142" t="s">
        <v>715</v>
      </c>
      <c r="I138" s="130" t="str">
        <f>VLOOKUP(H138,Presupuesto!$B$11:$C$565,2,0)</f>
        <v>SERVICIOS DE IMPRENTA PUBLIC.Y REPRODUCCION</v>
      </c>
      <c r="J138" s="98" t="s">
        <v>1366</v>
      </c>
      <c r="K138" s="98" t="s">
        <v>393</v>
      </c>
    </row>
    <row r="139" spans="3:11" x14ac:dyDescent="0.25">
      <c r="C139" s="141" t="s">
        <v>1871</v>
      </c>
      <c r="D139" s="158">
        <v>10000</v>
      </c>
      <c r="E139" s="123">
        <v>5</v>
      </c>
      <c r="F139" s="97">
        <f t="shared" si="16"/>
        <v>50000</v>
      </c>
      <c r="G139" s="161" t="s">
        <v>127</v>
      </c>
      <c r="H139" s="142" t="s">
        <v>715</v>
      </c>
      <c r="I139" s="130" t="str">
        <f>VLOOKUP(H139,Presupuesto!$B$11:$C$565,2,0)</f>
        <v>SERVICIOS DE IMPRENTA PUBLIC.Y REPRODUCCION</v>
      </c>
      <c r="J139" s="98" t="s">
        <v>1366</v>
      </c>
      <c r="K139" s="98" t="s">
        <v>393</v>
      </c>
    </row>
    <row r="140" spans="3:11" x14ac:dyDescent="0.25">
      <c r="C140" s="141" t="s">
        <v>1872</v>
      </c>
      <c r="D140" s="158">
        <v>5000</v>
      </c>
      <c r="E140" s="123">
        <v>1.4</v>
      </c>
      <c r="F140" s="97">
        <f t="shared" si="16"/>
        <v>7000</v>
      </c>
      <c r="G140" s="161" t="s">
        <v>127</v>
      </c>
      <c r="H140" s="142" t="s">
        <v>715</v>
      </c>
      <c r="I140" s="130" t="str">
        <f>VLOOKUP(H140,Presupuesto!$B$11:$C$565,2,0)</f>
        <v>SERVICIOS DE IMPRENTA PUBLIC.Y REPRODUCCION</v>
      </c>
      <c r="J140" s="98" t="s">
        <v>1366</v>
      </c>
      <c r="K140" s="98" t="s">
        <v>393</v>
      </c>
    </row>
    <row r="141" spans="3:11" x14ac:dyDescent="0.25">
      <c r="C141" s="141" t="s">
        <v>1873</v>
      </c>
      <c r="D141" s="158">
        <v>5000</v>
      </c>
      <c r="E141" s="123">
        <v>1.4</v>
      </c>
      <c r="F141" s="97">
        <f t="shared" si="16"/>
        <v>7000</v>
      </c>
      <c r="G141" s="161" t="s">
        <v>127</v>
      </c>
      <c r="H141" s="142" t="s">
        <v>715</v>
      </c>
      <c r="I141" s="130" t="str">
        <f>VLOOKUP(H141,Presupuesto!$B$11:$C$565,2,0)</f>
        <v>SERVICIOS DE IMPRENTA PUBLIC.Y REPRODUCCION</v>
      </c>
      <c r="J141" s="98" t="s">
        <v>1366</v>
      </c>
      <c r="K141" s="98" t="s">
        <v>397</v>
      </c>
    </row>
    <row r="142" spans="3:11" x14ac:dyDescent="0.25">
      <c r="C142" s="141" t="s">
        <v>1874</v>
      </c>
      <c r="D142" s="158">
        <v>10000</v>
      </c>
      <c r="E142" s="123">
        <v>6</v>
      </c>
      <c r="F142" s="97">
        <f t="shared" si="16"/>
        <v>60000</v>
      </c>
      <c r="G142" s="161" t="s">
        <v>1675</v>
      </c>
      <c r="H142" s="142" t="s">
        <v>715</v>
      </c>
      <c r="I142" s="130" t="str">
        <f>VLOOKUP(H142,Presupuesto!$B$11:$C$565,2,0)</f>
        <v>SERVICIOS DE IMPRENTA PUBLIC.Y REPRODUCCION</v>
      </c>
      <c r="J142" s="98" t="s">
        <v>1366</v>
      </c>
      <c r="K142" s="98" t="s">
        <v>396</v>
      </c>
    </row>
    <row r="143" spans="3:11" x14ac:dyDescent="0.25">
      <c r="C143" s="141" t="s">
        <v>1875</v>
      </c>
      <c r="D143" s="158">
        <v>10000</v>
      </c>
      <c r="E143" s="123">
        <v>30</v>
      </c>
      <c r="F143" s="97">
        <f t="shared" si="16"/>
        <v>300000</v>
      </c>
      <c r="G143" s="161" t="s">
        <v>1675</v>
      </c>
      <c r="H143" s="142" t="s">
        <v>715</v>
      </c>
      <c r="I143" s="130" t="str">
        <f>VLOOKUP(H143,Presupuesto!$B$11:$C$565,2,0)</f>
        <v>SERVICIOS DE IMPRENTA PUBLIC.Y REPRODUCCION</v>
      </c>
      <c r="J143" s="98" t="s">
        <v>1366</v>
      </c>
      <c r="K143" s="98" t="s">
        <v>396</v>
      </c>
    </row>
    <row r="144" spans="3:11" x14ac:dyDescent="0.25">
      <c r="C144" s="607" t="s">
        <v>1876</v>
      </c>
      <c r="D144" s="158">
        <v>3000</v>
      </c>
      <c r="E144" s="123">
        <v>2</v>
      </c>
      <c r="F144" s="97">
        <f t="shared" si="16"/>
        <v>6000</v>
      </c>
      <c r="G144" s="161" t="s">
        <v>127</v>
      </c>
      <c r="H144" s="142" t="s">
        <v>715</v>
      </c>
      <c r="I144" s="130" t="str">
        <f>VLOOKUP(H144,Presupuesto!$B$11:$C$565,2,0)</f>
        <v>SERVICIOS DE IMPRENTA PUBLIC.Y REPRODUCCION</v>
      </c>
      <c r="J144" s="98" t="s">
        <v>1366</v>
      </c>
      <c r="K144" s="98" t="s">
        <v>394</v>
      </c>
    </row>
    <row r="145" spans="3:11" x14ac:dyDescent="0.25">
      <c r="C145" s="141" t="s">
        <v>1877</v>
      </c>
      <c r="D145" s="158">
        <v>1</v>
      </c>
      <c r="E145" s="123">
        <v>5000</v>
      </c>
      <c r="F145" s="97">
        <f t="shared" si="16"/>
        <v>5000</v>
      </c>
      <c r="G145" s="161" t="s">
        <v>127</v>
      </c>
      <c r="H145" s="142" t="s">
        <v>715</v>
      </c>
      <c r="I145" s="130" t="str">
        <f>VLOOKUP(H145,Presupuesto!$B$11:$C$565,2,0)</f>
        <v>SERVICIOS DE IMPRENTA PUBLIC.Y REPRODUCCION</v>
      </c>
      <c r="J145" s="98" t="s">
        <v>1366</v>
      </c>
      <c r="K145" s="98" t="s">
        <v>394</v>
      </c>
    </row>
    <row r="146" spans="3:11" ht="30" x14ac:dyDescent="0.25">
      <c r="C146" s="605" t="s">
        <v>1879</v>
      </c>
      <c r="D146" s="158">
        <v>6</v>
      </c>
      <c r="E146" s="123">
        <v>3000</v>
      </c>
      <c r="F146" s="97">
        <f t="shared" si="16"/>
        <v>18000</v>
      </c>
      <c r="G146" s="161" t="s">
        <v>127</v>
      </c>
      <c r="H146" s="142" t="s">
        <v>715</v>
      </c>
      <c r="I146" s="130" t="str">
        <f>VLOOKUP(H146,Presupuesto!$B$11:$C$565,2,0)</f>
        <v>SERVICIOS DE IMPRENTA PUBLIC.Y REPRODUCCION</v>
      </c>
      <c r="J146" s="98" t="s">
        <v>1366</v>
      </c>
      <c r="K146" s="98" t="s">
        <v>394</v>
      </c>
    </row>
    <row r="147" spans="3:11" x14ac:dyDescent="0.25">
      <c r="C147" s="141"/>
      <c r="D147" s="158"/>
      <c r="E147" s="123"/>
      <c r="F147" s="97">
        <f t="shared" si="16"/>
        <v>0</v>
      </c>
      <c r="G147" s="161"/>
      <c r="H147" s="142"/>
      <c r="I147" s="130" t="e">
        <f>VLOOKUP(H147,Presupuesto!$B$11:$C$565,2,0)</f>
        <v>#N/A</v>
      </c>
      <c r="J147" s="98" t="str">
        <f t="shared" ref="J147:J170" si="17">$J$136</f>
        <v>Desarrollo del Sistema de Educación Superior</v>
      </c>
      <c r="K147" s="98" t="s">
        <v>410</v>
      </c>
    </row>
    <row r="148" spans="3:11" x14ac:dyDescent="0.25">
      <c r="C148" s="141"/>
      <c r="D148" s="158"/>
      <c r="E148" s="123"/>
      <c r="F148" s="97">
        <f t="shared" si="16"/>
        <v>0</v>
      </c>
      <c r="G148" s="161"/>
      <c r="H148" s="142"/>
      <c r="I148" s="130" t="e">
        <f>VLOOKUP(H148,Presupuesto!$B$11:$C$565,2,0)</f>
        <v>#N/A</v>
      </c>
      <c r="J148" s="98" t="str">
        <f t="shared" si="17"/>
        <v>Desarrollo del Sistema de Educación Superior</v>
      </c>
      <c r="K148" s="98" t="s">
        <v>410</v>
      </c>
    </row>
    <row r="149" spans="3:11" x14ac:dyDescent="0.25">
      <c r="C149" s="141"/>
      <c r="D149" s="158"/>
      <c r="E149" s="123"/>
      <c r="F149" s="97">
        <f t="shared" si="16"/>
        <v>0</v>
      </c>
      <c r="G149" s="161"/>
      <c r="H149" s="142"/>
      <c r="I149" s="130" t="e">
        <f>VLOOKUP(H149,Presupuesto!$B$11:$C$565,2,0)</f>
        <v>#N/A</v>
      </c>
      <c r="J149" s="98" t="str">
        <f t="shared" si="17"/>
        <v>Desarrollo del Sistema de Educación Superior</v>
      </c>
      <c r="K149" s="98" t="s">
        <v>410</v>
      </c>
    </row>
    <row r="150" spans="3:11" x14ac:dyDescent="0.25">
      <c r="C150" s="141"/>
      <c r="D150" s="158"/>
      <c r="E150" s="123"/>
      <c r="F150" s="97">
        <f t="shared" si="16"/>
        <v>0</v>
      </c>
      <c r="G150" s="161"/>
      <c r="H150" s="142"/>
      <c r="I150" s="130" t="e">
        <f>VLOOKUP(H150,Presupuesto!$B$11:$C$565,2,0)</f>
        <v>#N/A</v>
      </c>
      <c r="J150" s="98" t="str">
        <f t="shared" si="17"/>
        <v>Desarrollo del Sistema de Educación Superior</v>
      </c>
      <c r="K150" s="98" t="s">
        <v>410</v>
      </c>
    </row>
    <row r="151" spans="3:11" x14ac:dyDescent="0.25">
      <c r="C151" s="141"/>
      <c r="D151" s="158"/>
      <c r="E151" s="123"/>
      <c r="F151" s="97">
        <f t="shared" si="16"/>
        <v>0</v>
      </c>
      <c r="G151" s="161"/>
      <c r="H151" s="142"/>
      <c r="I151" s="130" t="e">
        <f>VLOOKUP(H151,Presupuesto!$B$11:$C$565,2,0)</f>
        <v>#N/A</v>
      </c>
      <c r="J151" s="98" t="str">
        <f t="shared" si="17"/>
        <v>Desarrollo del Sistema de Educación Superior</v>
      </c>
      <c r="K151" s="98" t="s">
        <v>410</v>
      </c>
    </row>
    <row r="152" spans="3:11" x14ac:dyDescent="0.25">
      <c r="C152" s="141"/>
      <c r="D152" s="158"/>
      <c r="E152" s="123"/>
      <c r="F152" s="97">
        <f t="shared" si="16"/>
        <v>0</v>
      </c>
      <c r="G152" s="161"/>
      <c r="H152" s="142"/>
      <c r="I152" s="130" t="e">
        <f>VLOOKUP(H152,Presupuesto!$B$11:$C$565,2,0)</f>
        <v>#N/A</v>
      </c>
      <c r="J152" s="98" t="str">
        <f t="shared" si="17"/>
        <v>Desarrollo del Sistema de Educación Superior</v>
      </c>
      <c r="K152" s="98" t="s">
        <v>410</v>
      </c>
    </row>
    <row r="153" spans="3:11" x14ac:dyDescent="0.25">
      <c r="C153" s="141"/>
      <c r="D153" s="158"/>
      <c r="E153" s="123"/>
      <c r="F153" s="97">
        <f t="shared" si="16"/>
        <v>0</v>
      </c>
      <c r="G153" s="161"/>
      <c r="H153" s="142"/>
      <c r="I153" s="130" t="e">
        <f>VLOOKUP(H153,Presupuesto!$B$11:$C$565,2,0)</f>
        <v>#N/A</v>
      </c>
      <c r="J153" s="98" t="str">
        <f t="shared" si="17"/>
        <v>Desarrollo del Sistema de Educación Superior</v>
      </c>
      <c r="K153" s="98" t="s">
        <v>410</v>
      </c>
    </row>
    <row r="154" spans="3:11" x14ac:dyDescent="0.25">
      <c r="C154" s="141"/>
      <c r="D154" s="158"/>
      <c r="E154" s="123"/>
      <c r="F154" s="97">
        <f t="shared" si="16"/>
        <v>0</v>
      </c>
      <c r="G154" s="161"/>
      <c r="H154" s="142"/>
      <c r="I154" s="130" t="e">
        <f>VLOOKUP(H154,Presupuesto!$B$11:$C$565,2,0)</f>
        <v>#N/A</v>
      </c>
      <c r="J154" s="98" t="str">
        <f t="shared" si="17"/>
        <v>Desarrollo del Sistema de Educación Superior</v>
      </c>
      <c r="K154" s="98" t="s">
        <v>410</v>
      </c>
    </row>
    <row r="155" spans="3:11" x14ac:dyDescent="0.25">
      <c r="C155" s="141"/>
      <c r="D155" s="158"/>
      <c r="E155" s="123"/>
      <c r="F155" s="97">
        <f t="shared" si="16"/>
        <v>0</v>
      </c>
      <c r="G155" s="161"/>
      <c r="H155" s="142"/>
      <c r="I155" s="130" t="e">
        <f>VLOOKUP(H155,Presupuesto!$B$11:$C$565,2,0)</f>
        <v>#N/A</v>
      </c>
      <c r="J155" s="98" t="str">
        <f t="shared" si="17"/>
        <v>Desarrollo del Sistema de Educación Superior</v>
      </c>
      <c r="K155" s="98" t="s">
        <v>410</v>
      </c>
    </row>
    <row r="156" spans="3:11" x14ac:dyDescent="0.25">
      <c r="C156" s="141"/>
      <c r="D156" s="158"/>
      <c r="E156" s="123"/>
      <c r="F156" s="97">
        <f t="shared" si="16"/>
        <v>0</v>
      </c>
      <c r="G156" s="161"/>
      <c r="H156" s="142"/>
      <c r="I156" s="130" t="e">
        <f>VLOOKUP(H156,Presupuesto!$B$11:$C$565,2,0)</f>
        <v>#N/A</v>
      </c>
      <c r="J156" s="98" t="str">
        <f t="shared" si="17"/>
        <v>Desarrollo del Sistema de Educación Superior</v>
      </c>
      <c r="K156" s="98" t="s">
        <v>410</v>
      </c>
    </row>
    <row r="157" spans="3:11" x14ac:dyDescent="0.25">
      <c r="C157" s="141"/>
      <c r="D157" s="158"/>
      <c r="E157" s="123"/>
      <c r="F157" s="97">
        <f t="shared" si="16"/>
        <v>0</v>
      </c>
      <c r="G157" s="161"/>
      <c r="H157" s="142"/>
      <c r="I157" s="130" t="e">
        <f>VLOOKUP(H157,Presupuesto!$B$11:$C$565,2,0)</f>
        <v>#N/A</v>
      </c>
      <c r="J157" s="98" t="str">
        <f t="shared" si="17"/>
        <v>Desarrollo del Sistema de Educación Superior</v>
      </c>
      <c r="K157" s="98" t="s">
        <v>410</v>
      </c>
    </row>
    <row r="158" spans="3:11" x14ac:dyDescent="0.25">
      <c r="C158" s="143"/>
      <c r="D158" s="151"/>
      <c r="E158" s="118"/>
      <c r="F158" s="97">
        <f t="shared" si="16"/>
        <v>0</v>
      </c>
      <c r="G158" s="161"/>
      <c r="H158" s="144"/>
      <c r="I158" s="130" t="e">
        <f>VLOOKUP(H158,Presupuesto!$B$11:$C$565,2,0)</f>
        <v>#N/A</v>
      </c>
      <c r="J158" s="98" t="str">
        <f t="shared" si="17"/>
        <v>Desarrollo del Sistema de Educación Superior</v>
      </c>
      <c r="K158" s="98" t="s">
        <v>410</v>
      </c>
    </row>
    <row r="159" spans="3:11" x14ac:dyDescent="0.25">
      <c r="C159" s="143"/>
      <c r="D159" s="151"/>
      <c r="E159" s="118"/>
      <c r="F159" s="97">
        <f t="shared" si="16"/>
        <v>0</v>
      </c>
      <c r="G159" s="161"/>
      <c r="H159" s="144"/>
      <c r="I159" s="130" t="e">
        <f>VLOOKUP(H159,Presupuesto!$B$11:$C$565,2,0)</f>
        <v>#N/A</v>
      </c>
      <c r="J159" s="98" t="str">
        <f t="shared" si="17"/>
        <v>Desarrollo del Sistema de Educación Superior</v>
      </c>
      <c r="K159" s="98" t="s">
        <v>410</v>
      </c>
    </row>
    <row r="160" spans="3:11" x14ac:dyDescent="0.25">
      <c r="C160" s="143"/>
      <c r="D160" s="151"/>
      <c r="E160" s="118"/>
      <c r="F160" s="97">
        <f t="shared" si="16"/>
        <v>0</v>
      </c>
      <c r="G160" s="161"/>
      <c r="H160" s="144"/>
      <c r="I160" s="130" t="e">
        <f>VLOOKUP(H160,Presupuesto!$B$11:$C$565,2,0)</f>
        <v>#N/A</v>
      </c>
      <c r="J160" s="98" t="str">
        <f t="shared" si="17"/>
        <v>Desarrollo del Sistema de Educación Superior</v>
      </c>
      <c r="K160" s="98" t="s">
        <v>410</v>
      </c>
    </row>
    <row r="161" spans="3:11" x14ac:dyDescent="0.25">
      <c r="C161" s="143"/>
      <c r="D161" s="151"/>
      <c r="E161" s="118"/>
      <c r="F161" s="97">
        <f t="shared" si="16"/>
        <v>0</v>
      </c>
      <c r="G161" s="161"/>
      <c r="H161" s="144"/>
      <c r="I161" s="130" t="e">
        <f>VLOOKUP(H161,Presupuesto!$B$11:$C$565,2,0)</f>
        <v>#N/A</v>
      </c>
      <c r="J161" s="98" t="str">
        <f t="shared" si="17"/>
        <v>Desarrollo del Sistema de Educación Superior</v>
      </c>
      <c r="K161" s="98" t="s">
        <v>410</v>
      </c>
    </row>
    <row r="162" spans="3:11" x14ac:dyDescent="0.25">
      <c r="C162" s="143"/>
      <c r="D162" s="151"/>
      <c r="E162" s="118"/>
      <c r="F162" s="97">
        <f t="shared" si="16"/>
        <v>0</v>
      </c>
      <c r="G162" s="161"/>
      <c r="H162" s="144"/>
      <c r="I162" s="130" t="e">
        <f>VLOOKUP(H162,Presupuesto!$B$11:$C$565,2,0)</f>
        <v>#N/A</v>
      </c>
      <c r="J162" s="98" t="str">
        <f t="shared" si="17"/>
        <v>Desarrollo del Sistema de Educación Superior</v>
      </c>
      <c r="K162" s="98" t="s">
        <v>410</v>
      </c>
    </row>
    <row r="163" spans="3:11" x14ac:dyDescent="0.25">
      <c r="C163" s="143"/>
      <c r="D163" s="151"/>
      <c r="E163" s="118"/>
      <c r="F163" s="97">
        <f t="shared" si="16"/>
        <v>0</v>
      </c>
      <c r="G163" s="161"/>
      <c r="H163" s="144"/>
      <c r="I163" s="130" t="e">
        <f>VLOOKUP(H163,Presupuesto!$B$11:$C$565,2,0)</f>
        <v>#N/A</v>
      </c>
      <c r="J163" s="98" t="str">
        <f t="shared" si="17"/>
        <v>Desarrollo del Sistema de Educación Superior</v>
      </c>
      <c r="K163" s="98" t="s">
        <v>410</v>
      </c>
    </row>
    <row r="164" spans="3:11" x14ac:dyDescent="0.25">
      <c r="C164" s="143"/>
      <c r="D164" s="151"/>
      <c r="E164" s="118"/>
      <c r="F164" s="97">
        <f t="shared" si="16"/>
        <v>0</v>
      </c>
      <c r="G164" s="161"/>
      <c r="H164" s="144"/>
      <c r="I164" s="130" t="e">
        <f>VLOOKUP(H164,Presupuesto!$B$11:$C$565,2,0)</f>
        <v>#N/A</v>
      </c>
      <c r="J164" s="98" t="str">
        <f t="shared" si="17"/>
        <v>Desarrollo del Sistema de Educación Superior</v>
      </c>
      <c r="K164" s="98" t="s">
        <v>410</v>
      </c>
    </row>
    <row r="165" spans="3:11" x14ac:dyDescent="0.25">
      <c r="C165" s="143"/>
      <c r="D165" s="151"/>
      <c r="E165" s="118"/>
      <c r="F165" s="97">
        <f t="shared" si="16"/>
        <v>0</v>
      </c>
      <c r="G165" s="161"/>
      <c r="H165" s="144"/>
      <c r="I165" s="130" t="e">
        <f>VLOOKUP(H165,Presupuesto!$B$11:$C$565,2,0)</f>
        <v>#N/A</v>
      </c>
      <c r="J165" s="98" t="str">
        <f t="shared" si="17"/>
        <v>Desarrollo del Sistema de Educación Superior</v>
      </c>
      <c r="K165" s="98" t="s">
        <v>410</v>
      </c>
    </row>
    <row r="166" spans="3:11" x14ac:dyDescent="0.25">
      <c r="C166" s="145"/>
      <c r="D166" s="151"/>
      <c r="E166" s="118"/>
      <c r="F166" s="97">
        <f t="shared" si="16"/>
        <v>0</v>
      </c>
      <c r="G166" s="161"/>
      <c r="H166" s="146"/>
      <c r="I166" s="130" t="e">
        <f>VLOOKUP(H166,Presupuesto!$B$11:$C$565,2,0)</f>
        <v>#N/A</v>
      </c>
      <c r="J166" s="98" t="str">
        <f t="shared" si="17"/>
        <v>Desarrollo del Sistema de Educación Superior</v>
      </c>
      <c r="K166" s="98" t="s">
        <v>401</v>
      </c>
    </row>
    <row r="167" spans="3:11" x14ac:dyDescent="0.25">
      <c r="C167" s="145"/>
      <c r="D167" s="151"/>
      <c r="E167" s="118"/>
      <c r="F167" s="97">
        <f t="shared" si="16"/>
        <v>0</v>
      </c>
      <c r="G167" s="161"/>
      <c r="H167" s="146"/>
      <c r="I167" s="130" t="e">
        <f>VLOOKUP(H167,Presupuesto!$B$11:$C$565,2,0)</f>
        <v>#N/A</v>
      </c>
      <c r="J167" s="98" t="str">
        <f t="shared" si="17"/>
        <v>Desarrollo del Sistema de Educación Superior</v>
      </c>
      <c r="K167" s="98" t="s">
        <v>410</v>
      </c>
    </row>
    <row r="168" spans="3:11" x14ac:dyDescent="0.25">
      <c r="C168" s="145"/>
      <c r="D168" s="151"/>
      <c r="E168" s="118"/>
      <c r="F168" s="97">
        <f t="shared" si="16"/>
        <v>0</v>
      </c>
      <c r="G168" s="161"/>
      <c r="H168" s="146"/>
      <c r="I168" s="130" t="e">
        <f>VLOOKUP(H168,Presupuesto!$B$11:$C$565,2,0)</f>
        <v>#N/A</v>
      </c>
      <c r="J168" s="98" t="str">
        <f t="shared" si="17"/>
        <v>Desarrollo del Sistema de Educación Superior</v>
      </c>
      <c r="K168" s="98" t="s">
        <v>410</v>
      </c>
    </row>
    <row r="169" spans="3:11" x14ac:dyDescent="0.25">
      <c r="C169" s="145"/>
      <c r="D169" s="151"/>
      <c r="E169" s="118"/>
      <c r="F169" s="97">
        <f t="shared" si="16"/>
        <v>0</v>
      </c>
      <c r="G169" s="161"/>
      <c r="H169" s="146"/>
      <c r="I169" s="130" t="e">
        <f>VLOOKUP(H169,Presupuesto!$B$11:$C$565,2,0)</f>
        <v>#N/A</v>
      </c>
      <c r="J169" s="98" t="str">
        <f t="shared" si="17"/>
        <v>Desarrollo del Sistema de Educación Superior</v>
      </c>
      <c r="K169" s="98" t="s">
        <v>410</v>
      </c>
    </row>
    <row r="170" spans="3:11" ht="15.75" thickBot="1" x14ac:dyDescent="0.3">
      <c r="C170" s="147"/>
      <c r="D170" s="159"/>
      <c r="E170" s="103"/>
      <c r="F170" s="105">
        <f t="shared" si="16"/>
        <v>0</v>
      </c>
      <c r="G170" s="162"/>
      <c r="H170" s="148"/>
      <c r="I170" s="132" t="e">
        <f>VLOOKUP(H170,Presupuesto!$B$11:$C$565,2,0)</f>
        <v>#N/A</v>
      </c>
      <c r="J170" s="106" t="str">
        <f t="shared" si="17"/>
        <v>Desarrollo del Sistema de Educación Superior</v>
      </c>
      <c r="K170" s="124" t="s">
        <v>392</v>
      </c>
    </row>
    <row r="172" spans="3:11" ht="15.75" thickBot="1" x14ac:dyDescent="0.3">
      <c r="F172" s="90"/>
      <c r="G172" s="89"/>
      <c r="H172" s="90"/>
      <c r="I172" s="90"/>
    </row>
    <row r="173" spans="3:11" ht="15.75" thickBot="1" x14ac:dyDescent="0.3">
      <c r="C173" s="157" t="s">
        <v>53</v>
      </c>
      <c r="D173" s="372">
        <f>SUM(F180:F214)</f>
        <v>95775</v>
      </c>
      <c r="F173" s="70"/>
      <c r="G173" s="79"/>
      <c r="H173" s="70"/>
      <c r="I173" s="70"/>
    </row>
    <row r="174" spans="3:11" x14ac:dyDescent="0.25">
      <c r="C174" s="70"/>
      <c r="D174" s="31"/>
      <c r="E174" s="93"/>
      <c r="F174" s="93"/>
      <c r="G174" s="93"/>
      <c r="H174" s="76"/>
      <c r="I174" s="76"/>
      <c r="J174" s="76"/>
      <c r="K174" s="112"/>
    </row>
    <row r="175" spans="3:11" x14ac:dyDescent="0.25">
      <c r="C175" s="70"/>
      <c r="D175" s="31"/>
      <c r="E175" s="93"/>
      <c r="F175" s="93"/>
      <c r="G175" s="93"/>
      <c r="H175" s="76"/>
      <c r="I175" s="76"/>
      <c r="J175" s="76"/>
      <c r="K175" s="112"/>
    </row>
    <row r="176" spans="3:11" ht="15.75" x14ac:dyDescent="0.25">
      <c r="C176" s="202" t="s">
        <v>390</v>
      </c>
      <c r="D176" s="368" t="str">
        <f>'15. Gobernabilidad y Proceso...'!G11</f>
        <v>3.1.2</v>
      </c>
      <c r="E176" s="93"/>
      <c r="F176" s="93"/>
      <c r="G176" s="93"/>
      <c r="H176" s="76"/>
      <c r="I176" s="76"/>
      <c r="J176" s="76"/>
      <c r="K176" s="112"/>
    </row>
    <row r="177" spans="3:11" ht="18.75" x14ac:dyDescent="0.25">
      <c r="C177" s="210" t="str">
        <f>IFERROR(VLOOKUP(D176,'1. Desarrollo e Innov. Curricu.'!$F:$G,2,FALSE),IFERROR(VLOOKUP(D176,'2. Investigación Científica'!$F:$G,2,FALSE),IFERROR(VLOOKUP(D176,'3. Vinculación Univ. Sociedad'!$F:$G,2,FALSE),IFERROR(VLOOKUP(D176,'4. Docencia y Profesorado Univ.'!$F:$G,2,FALSE),IFERROR(VLOOKUP(D176,'5. Estudiantes y Graduados'!$F:$G,2,FALSE),IFERROR(VLOOKUP(D176,'11. Gestion Administrativa'!$F:$G,2,FALSE),IFERROR(VLOOKUP(D176,'13. Gestión Académica'!$F:$G,2,FALSE),IFERROR(VLOOKUP(D176,'9. Asegura. de la Calid. y M'!$F:$G,2,FALSE),IFERROR(VLOOKUP(D176,'6. Gestión del Conocimiento'!$F:$G,2,FALSE),IFERROR(VLOOKUP(D176,'15. Gobernabilidad y Proceso...'!$G:$H,2,FALSE),IFERROR(VLOOKUP(D176,'12. Gestión del Talento Humano'!$F:$G,2,FALSE),IFERROR(VLOOKUP(D176,'14. Internacional... de la E.S.'!$F:$G,2,FALSE),IFERROR(VLOOKUP(D176,'10. Posgrado'!$F:$G,2,FALSE),IFERROR(VLOOKUP(D176,'17. Gestión TIC'!$F:$G,2,FALSE),IFERROR(VLOOKUP(D176,'16. Desa. del Sistema Educ.Sup.'!$F:$G,2,FALSE),IFERROR(VLOOKUP(D176,'8. Cultura de Inno. Insti...'!$F:$G,2,FALSE),VLOOKUP(D176,'7. Lo Esencial de la Reforma U.'!$G:$H,2,0)))))))))))))))))</f>
        <v>3.1.2. a) Homologación de procedimientos del Comisionado, desarrollándose a final de año una autoevaluación (Insumos: Almuerzo del grupo, viáticos delegados y asistentes)</v>
      </c>
      <c r="D177" s="31"/>
      <c r="E177" s="93"/>
      <c r="F177" s="93"/>
      <c r="G177" s="93"/>
      <c r="H177" s="76"/>
      <c r="I177" s="76"/>
      <c r="J177" s="76"/>
      <c r="K177" s="112"/>
    </row>
    <row r="178" spans="3:11" ht="15.75" thickBot="1" x14ac:dyDescent="0.3">
      <c r="F178" s="93"/>
      <c r="G178" s="76"/>
      <c r="H178" s="76"/>
      <c r="I178" s="76"/>
    </row>
    <row r="179" spans="3:11" ht="15.75" thickBot="1" x14ac:dyDescent="0.3">
      <c r="C179" s="129" t="s">
        <v>44</v>
      </c>
      <c r="D179" s="129" t="s">
        <v>55</v>
      </c>
      <c r="E179" s="136" t="s">
        <v>57</v>
      </c>
      <c r="F179" s="135" t="s">
        <v>27</v>
      </c>
      <c r="G179" s="133" t="s">
        <v>129</v>
      </c>
      <c r="H179" s="136" t="s">
        <v>46</v>
      </c>
      <c r="I179" s="133" t="s">
        <v>130</v>
      </c>
      <c r="J179" s="133" t="s">
        <v>408</v>
      </c>
      <c r="K179" s="133" t="s">
        <v>409</v>
      </c>
    </row>
    <row r="180" spans="3:11" x14ac:dyDescent="0.25">
      <c r="C180" s="220" t="s">
        <v>437</v>
      </c>
      <c r="D180" s="221"/>
      <c r="E180" s="219"/>
      <c r="F180" s="97">
        <f t="shared" ref="F180:F214" si="18">D180*E180</f>
        <v>0</v>
      </c>
      <c r="G180" s="161"/>
      <c r="H180" s="142"/>
      <c r="I180" s="130" t="e">
        <f>VLOOKUP(H180,Presupuesto!$B$11:$C$565,2,0)</f>
        <v>#N/A</v>
      </c>
      <c r="J180" s="218" t="s">
        <v>1468</v>
      </c>
      <c r="K180" s="98" t="s">
        <v>392</v>
      </c>
    </row>
    <row r="181" spans="3:11" x14ac:dyDescent="0.25">
      <c r="C181" s="220" t="s">
        <v>430</v>
      </c>
      <c r="D181" s="221">
        <f>4.5*2.5*2</f>
        <v>22.5</v>
      </c>
      <c r="E181" s="557">
        <f t="shared" ref="E181:E182" si="19">HLOOKUP(C181,$AH$2:$BU$3,2,0)</f>
        <v>1750</v>
      </c>
      <c r="F181" s="97">
        <f t="shared" si="18"/>
        <v>39375</v>
      </c>
      <c r="G181" s="161" t="s">
        <v>127</v>
      </c>
      <c r="H181" s="142" t="s">
        <v>759</v>
      </c>
      <c r="I181" s="130" t="str">
        <f>VLOOKUP(H181,Presupuesto!$B$11:$C$565,2,0)</f>
        <v>VIATICOS NACIONALES</v>
      </c>
      <c r="J181" s="218" t="s">
        <v>1366</v>
      </c>
      <c r="K181" s="98" t="s">
        <v>393</v>
      </c>
    </row>
    <row r="182" spans="3:11" x14ac:dyDescent="0.25">
      <c r="C182" s="220" t="s">
        <v>426</v>
      </c>
      <c r="D182" s="221">
        <f>4*2.5*2</f>
        <v>20</v>
      </c>
      <c r="E182" s="557">
        <f t="shared" si="19"/>
        <v>2000</v>
      </c>
      <c r="F182" s="97">
        <f t="shared" si="18"/>
        <v>40000</v>
      </c>
      <c r="G182" s="161" t="s">
        <v>127</v>
      </c>
      <c r="H182" s="142" t="s">
        <v>759</v>
      </c>
      <c r="I182" s="130" t="str">
        <f>VLOOKUP(H182,Presupuesto!$B$11:$C$565,2,0)</f>
        <v>VIATICOS NACIONALES</v>
      </c>
      <c r="J182" s="218" t="s">
        <v>1366</v>
      </c>
      <c r="K182" s="98" t="s">
        <v>393</v>
      </c>
    </row>
    <row r="183" spans="3:11" x14ac:dyDescent="0.25">
      <c r="C183" s="141" t="s">
        <v>1883</v>
      </c>
      <c r="D183" s="158">
        <f>1*4</f>
        <v>4</v>
      </c>
      <c r="E183" s="123">
        <v>1000</v>
      </c>
      <c r="F183" s="97">
        <f t="shared" si="18"/>
        <v>4000</v>
      </c>
      <c r="G183" s="161" t="s">
        <v>127</v>
      </c>
      <c r="H183" s="146" t="s">
        <v>869</v>
      </c>
      <c r="I183" s="130" t="str">
        <f>VLOOKUP(H183,Presupuesto!$B$11:$C$565,2,0)</f>
        <v>GASOLINA</v>
      </c>
      <c r="J183" s="218" t="s">
        <v>1366</v>
      </c>
      <c r="K183" s="98" t="s">
        <v>393</v>
      </c>
    </row>
    <row r="184" spans="3:11" x14ac:dyDescent="0.25">
      <c r="C184" s="141" t="s">
        <v>1884</v>
      </c>
      <c r="D184" s="158">
        <f>2*4</f>
        <v>8</v>
      </c>
      <c r="E184" s="123">
        <v>1300</v>
      </c>
      <c r="F184" s="97">
        <f t="shared" si="18"/>
        <v>10400</v>
      </c>
      <c r="G184" s="161" t="s">
        <v>127</v>
      </c>
      <c r="H184" s="146" t="s">
        <v>304</v>
      </c>
      <c r="I184" s="130" t="str">
        <f>VLOOKUP(H184,Presupuesto!$B$11:$C$565,2,0)</f>
        <v>PASAJES NACIONALES (26110-00)</v>
      </c>
      <c r="J184" s="218" t="s">
        <v>1366</v>
      </c>
      <c r="K184" s="98" t="s">
        <v>393</v>
      </c>
    </row>
    <row r="185" spans="3:11" x14ac:dyDescent="0.25">
      <c r="C185" s="141" t="s">
        <v>49</v>
      </c>
      <c r="D185" s="158">
        <v>1</v>
      </c>
      <c r="E185" s="123">
        <v>2000</v>
      </c>
      <c r="F185" s="97">
        <f t="shared" si="18"/>
        <v>2000</v>
      </c>
      <c r="G185" s="161" t="s">
        <v>127</v>
      </c>
      <c r="H185" s="142" t="s">
        <v>790</v>
      </c>
      <c r="I185" s="130" t="str">
        <f>VLOOKUP(H185,Presupuesto!$B$11:$C$565,2,0)</f>
        <v>ALIMENTOS B EBIDAS PARA PERSONAS</v>
      </c>
      <c r="J185" s="218" t="s">
        <v>1366</v>
      </c>
      <c r="K185" s="98" t="s">
        <v>393</v>
      </c>
    </row>
    <row r="186" spans="3:11" x14ac:dyDescent="0.25">
      <c r="C186" s="141"/>
      <c r="D186" s="158"/>
      <c r="E186" s="123"/>
      <c r="F186" s="97">
        <f t="shared" si="18"/>
        <v>0</v>
      </c>
      <c r="G186" s="161"/>
      <c r="H186" s="142"/>
      <c r="I186" s="130" t="e">
        <f>VLOOKUP(H186,Presupuesto!$B$11:$C$565,2,0)</f>
        <v>#N/A</v>
      </c>
      <c r="J186" s="218" t="s">
        <v>1366</v>
      </c>
      <c r="K186" s="98" t="s">
        <v>410</v>
      </c>
    </row>
    <row r="187" spans="3:11" x14ac:dyDescent="0.25">
      <c r="C187" s="141"/>
      <c r="D187" s="158"/>
      <c r="E187" s="123"/>
      <c r="F187" s="97">
        <f t="shared" si="18"/>
        <v>0</v>
      </c>
      <c r="G187" s="161"/>
      <c r="H187" s="142"/>
      <c r="I187" s="130" t="e">
        <f>VLOOKUP(H187,Presupuesto!$B$11:$C$565,2,0)</f>
        <v>#N/A</v>
      </c>
      <c r="J187" s="218" t="s">
        <v>1366</v>
      </c>
      <c r="K187" s="98" t="s">
        <v>410</v>
      </c>
    </row>
    <row r="188" spans="3:11" x14ac:dyDescent="0.25">
      <c r="C188" s="141"/>
      <c r="D188" s="158"/>
      <c r="E188" s="123"/>
      <c r="F188" s="97">
        <f t="shared" si="18"/>
        <v>0</v>
      </c>
      <c r="G188" s="161"/>
      <c r="H188" s="142"/>
      <c r="I188" s="130" t="e">
        <f>VLOOKUP(H188,Presupuesto!$B$11:$C$565,2,0)</f>
        <v>#N/A</v>
      </c>
      <c r="J188" s="218" t="s">
        <v>1366</v>
      </c>
      <c r="K188" s="98" t="s">
        <v>410</v>
      </c>
    </row>
    <row r="189" spans="3:11" x14ac:dyDescent="0.25">
      <c r="C189" s="141"/>
      <c r="D189" s="158"/>
      <c r="E189" s="123"/>
      <c r="F189" s="97">
        <f t="shared" si="18"/>
        <v>0</v>
      </c>
      <c r="G189" s="161"/>
      <c r="H189" s="142"/>
      <c r="I189" s="130" t="e">
        <f>VLOOKUP(H189,Presupuesto!$B$11:$C$565,2,0)</f>
        <v>#N/A</v>
      </c>
      <c r="J189" s="218" t="s">
        <v>1366</v>
      </c>
      <c r="K189" s="98" t="s">
        <v>410</v>
      </c>
    </row>
    <row r="190" spans="3:11" x14ac:dyDescent="0.25">
      <c r="C190" s="141"/>
      <c r="D190" s="158"/>
      <c r="E190" s="123"/>
      <c r="F190" s="97">
        <f t="shared" si="18"/>
        <v>0</v>
      </c>
      <c r="G190" s="161"/>
      <c r="H190" s="142"/>
      <c r="I190" s="130" t="e">
        <f>VLOOKUP(H190,Presupuesto!$B$11:$C$565,2,0)</f>
        <v>#N/A</v>
      </c>
      <c r="J190" s="218" t="s">
        <v>1366</v>
      </c>
      <c r="K190" s="98" t="s">
        <v>410</v>
      </c>
    </row>
    <row r="191" spans="3:11" x14ac:dyDescent="0.25">
      <c r="C191" s="141"/>
      <c r="D191" s="158"/>
      <c r="E191" s="123"/>
      <c r="F191" s="97">
        <f t="shared" si="18"/>
        <v>0</v>
      </c>
      <c r="G191" s="161"/>
      <c r="H191" s="142"/>
      <c r="I191" s="130" t="e">
        <f>VLOOKUP(H191,Presupuesto!$B$11:$C$565,2,0)</f>
        <v>#N/A</v>
      </c>
      <c r="J191" s="218" t="s">
        <v>1366</v>
      </c>
      <c r="K191" s="98" t="s">
        <v>410</v>
      </c>
    </row>
    <row r="192" spans="3:11" x14ac:dyDescent="0.25">
      <c r="C192" s="141"/>
      <c r="D192" s="158"/>
      <c r="E192" s="123"/>
      <c r="F192" s="97">
        <f t="shared" si="18"/>
        <v>0</v>
      </c>
      <c r="G192" s="161"/>
      <c r="H192" s="142"/>
      <c r="I192" s="130" t="e">
        <f>VLOOKUP(H192,Presupuesto!$B$11:$C$565,2,0)</f>
        <v>#N/A</v>
      </c>
      <c r="J192" s="218" t="s">
        <v>1366</v>
      </c>
      <c r="K192" s="98" t="s">
        <v>410</v>
      </c>
    </row>
    <row r="193" spans="3:11" x14ac:dyDescent="0.25">
      <c r="C193" s="141"/>
      <c r="D193" s="158"/>
      <c r="E193" s="123"/>
      <c r="F193" s="97">
        <f t="shared" si="18"/>
        <v>0</v>
      </c>
      <c r="G193" s="161"/>
      <c r="H193" s="142"/>
      <c r="I193" s="130" t="e">
        <f>VLOOKUP(H193,Presupuesto!$B$11:$C$565,2,0)</f>
        <v>#N/A</v>
      </c>
      <c r="J193" s="218" t="s">
        <v>1366</v>
      </c>
      <c r="K193" s="98" t="s">
        <v>410</v>
      </c>
    </row>
    <row r="194" spans="3:11" x14ac:dyDescent="0.25">
      <c r="C194" s="141"/>
      <c r="D194" s="158"/>
      <c r="E194" s="123"/>
      <c r="F194" s="97">
        <f t="shared" si="18"/>
        <v>0</v>
      </c>
      <c r="G194" s="161"/>
      <c r="H194" s="142"/>
      <c r="I194" s="130" t="e">
        <f>VLOOKUP(H194,Presupuesto!$B$11:$C$565,2,0)</f>
        <v>#N/A</v>
      </c>
      <c r="J194" s="218" t="s">
        <v>1366</v>
      </c>
      <c r="K194" s="98" t="s">
        <v>410</v>
      </c>
    </row>
    <row r="195" spans="3:11" x14ac:dyDescent="0.25">
      <c r="C195" s="141"/>
      <c r="D195" s="158"/>
      <c r="E195" s="123"/>
      <c r="F195" s="97">
        <f t="shared" si="18"/>
        <v>0</v>
      </c>
      <c r="G195" s="161"/>
      <c r="H195" s="142"/>
      <c r="I195" s="130" t="e">
        <f>VLOOKUP(H195,Presupuesto!$B$11:$C$565,2,0)</f>
        <v>#N/A</v>
      </c>
      <c r="J195" s="218" t="s">
        <v>1366</v>
      </c>
      <c r="K195" s="98" t="s">
        <v>410</v>
      </c>
    </row>
    <row r="196" spans="3:11" x14ac:dyDescent="0.25">
      <c r="C196" s="141"/>
      <c r="D196" s="158"/>
      <c r="E196" s="123"/>
      <c r="F196" s="97">
        <f t="shared" si="18"/>
        <v>0</v>
      </c>
      <c r="G196" s="161"/>
      <c r="H196" s="142"/>
      <c r="I196" s="130" t="e">
        <f>VLOOKUP(H196,Presupuesto!$B$11:$C$565,2,0)</f>
        <v>#N/A</v>
      </c>
      <c r="J196" s="218" t="s">
        <v>1366</v>
      </c>
      <c r="K196" s="98" t="s">
        <v>410</v>
      </c>
    </row>
    <row r="197" spans="3:11" x14ac:dyDescent="0.25">
      <c r="C197" s="141"/>
      <c r="D197" s="158"/>
      <c r="E197" s="123"/>
      <c r="F197" s="97">
        <f t="shared" si="18"/>
        <v>0</v>
      </c>
      <c r="G197" s="161"/>
      <c r="H197" s="142"/>
      <c r="I197" s="130" t="e">
        <f>VLOOKUP(H197,Presupuesto!$B$11:$C$565,2,0)</f>
        <v>#N/A</v>
      </c>
      <c r="J197" s="218" t="s">
        <v>1366</v>
      </c>
      <c r="K197" s="98" t="s">
        <v>410</v>
      </c>
    </row>
    <row r="198" spans="3:11" x14ac:dyDescent="0.25">
      <c r="C198" s="141"/>
      <c r="D198" s="158"/>
      <c r="E198" s="123"/>
      <c r="F198" s="97">
        <f t="shared" si="18"/>
        <v>0</v>
      </c>
      <c r="G198" s="161"/>
      <c r="H198" s="142"/>
      <c r="I198" s="130" t="e">
        <f>VLOOKUP(H198,Presupuesto!$B$11:$C$565,2,0)</f>
        <v>#N/A</v>
      </c>
      <c r="J198" s="218" t="s">
        <v>1366</v>
      </c>
      <c r="K198" s="98" t="s">
        <v>410</v>
      </c>
    </row>
    <row r="199" spans="3:11" x14ac:dyDescent="0.25">
      <c r="C199" s="141"/>
      <c r="D199" s="158"/>
      <c r="E199" s="123"/>
      <c r="F199" s="97">
        <f t="shared" si="18"/>
        <v>0</v>
      </c>
      <c r="G199" s="161"/>
      <c r="H199" s="142"/>
      <c r="I199" s="130" t="e">
        <f>VLOOKUP(H199,Presupuesto!$B$11:$C$565,2,0)</f>
        <v>#N/A</v>
      </c>
      <c r="J199" s="218" t="s">
        <v>1366</v>
      </c>
      <c r="K199" s="98" t="s">
        <v>410</v>
      </c>
    </row>
    <row r="200" spans="3:11" x14ac:dyDescent="0.25">
      <c r="C200" s="141"/>
      <c r="D200" s="158"/>
      <c r="E200" s="123"/>
      <c r="F200" s="97">
        <f t="shared" si="18"/>
        <v>0</v>
      </c>
      <c r="G200" s="161"/>
      <c r="H200" s="142"/>
      <c r="I200" s="130" t="e">
        <f>VLOOKUP(H200,Presupuesto!$B$11:$C$565,2,0)</f>
        <v>#N/A</v>
      </c>
      <c r="J200" s="218" t="s">
        <v>1366</v>
      </c>
      <c r="K200" s="98" t="s">
        <v>410</v>
      </c>
    </row>
    <row r="201" spans="3:11" x14ac:dyDescent="0.25">
      <c r="C201" s="141"/>
      <c r="D201" s="158"/>
      <c r="E201" s="123"/>
      <c r="F201" s="97">
        <f t="shared" si="18"/>
        <v>0</v>
      </c>
      <c r="G201" s="161"/>
      <c r="H201" s="142"/>
      <c r="I201" s="130" t="e">
        <f>VLOOKUP(H201,Presupuesto!$B$11:$C$565,2,0)</f>
        <v>#N/A</v>
      </c>
      <c r="J201" s="218" t="s">
        <v>1366</v>
      </c>
      <c r="K201" s="98" t="s">
        <v>410</v>
      </c>
    </row>
    <row r="202" spans="3:11" x14ac:dyDescent="0.25">
      <c r="C202" s="143"/>
      <c r="D202" s="151"/>
      <c r="E202" s="118"/>
      <c r="F202" s="97">
        <f t="shared" si="18"/>
        <v>0</v>
      </c>
      <c r="G202" s="161"/>
      <c r="H202" s="144"/>
      <c r="I202" s="130" t="e">
        <f>VLOOKUP(H202,Presupuesto!$B$11:$C$565,2,0)</f>
        <v>#N/A</v>
      </c>
      <c r="J202" s="218" t="s">
        <v>1366</v>
      </c>
      <c r="K202" s="98" t="s">
        <v>410</v>
      </c>
    </row>
    <row r="203" spans="3:11" x14ac:dyDescent="0.25">
      <c r="C203" s="143"/>
      <c r="D203" s="151"/>
      <c r="E203" s="118"/>
      <c r="F203" s="97">
        <f t="shared" si="18"/>
        <v>0</v>
      </c>
      <c r="G203" s="161"/>
      <c r="H203" s="144"/>
      <c r="I203" s="130" t="e">
        <f>VLOOKUP(H203,Presupuesto!$B$11:$C$565,2,0)</f>
        <v>#N/A</v>
      </c>
      <c r="J203" s="218" t="s">
        <v>1366</v>
      </c>
      <c r="K203" s="98" t="s">
        <v>410</v>
      </c>
    </row>
    <row r="204" spans="3:11" x14ac:dyDescent="0.25">
      <c r="C204" s="143"/>
      <c r="D204" s="151"/>
      <c r="E204" s="118"/>
      <c r="F204" s="97">
        <f t="shared" si="18"/>
        <v>0</v>
      </c>
      <c r="G204" s="161"/>
      <c r="H204" s="144"/>
      <c r="I204" s="130" t="e">
        <f>VLOOKUP(H204,Presupuesto!$B$11:$C$565,2,0)</f>
        <v>#N/A</v>
      </c>
      <c r="J204" s="218" t="s">
        <v>1366</v>
      </c>
      <c r="K204" s="98" t="s">
        <v>410</v>
      </c>
    </row>
    <row r="205" spans="3:11" x14ac:dyDescent="0.25">
      <c r="C205" s="143"/>
      <c r="D205" s="151"/>
      <c r="E205" s="118"/>
      <c r="F205" s="97">
        <f t="shared" si="18"/>
        <v>0</v>
      </c>
      <c r="G205" s="161"/>
      <c r="H205" s="144"/>
      <c r="I205" s="130" t="e">
        <f>VLOOKUP(H205,Presupuesto!$B$11:$C$565,2,0)</f>
        <v>#N/A</v>
      </c>
      <c r="J205" s="218" t="s">
        <v>1366</v>
      </c>
      <c r="K205" s="98" t="s">
        <v>410</v>
      </c>
    </row>
    <row r="206" spans="3:11" x14ac:dyDescent="0.25">
      <c r="C206" s="143"/>
      <c r="D206" s="151"/>
      <c r="E206" s="118"/>
      <c r="F206" s="97">
        <f t="shared" si="18"/>
        <v>0</v>
      </c>
      <c r="G206" s="161"/>
      <c r="H206" s="144"/>
      <c r="I206" s="130" t="e">
        <f>VLOOKUP(H206,Presupuesto!$B$11:$C$565,2,0)</f>
        <v>#N/A</v>
      </c>
      <c r="J206" s="218" t="s">
        <v>1366</v>
      </c>
      <c r="K206" s="98" t="s">
        <v>410</v>
      </c>
    </row>
    <row r="207" spans="3:11" x14ac:dyDescent="0.25">
      <c r="C207" s="143"/>
      <c r="D207" s="151"/>
      <c r="E207" s="118"/>
      <c r="F207" s="97">
        <f t="shared" si="18"/>
        <v>0</v>
      </c>
      <c r="G207" s="161"/>
      <c r="H207" s="144"/>
      <c r="I207" s="130" t="e">
        <f>VLOOKUP(H207,Presupuesto!$B$11:$C$565,2,0)</f>
        <v>#N/A</v>
      </c>
      <c r="J207" s="218" t="s">
        <v>1366</v>
      </c>
      <c r="K207" s="98" t="s">
        <v>410</v>
      </c>
    </row>
    <row r="208" spans="3:11" x14ac:dyDescent="0.25">
      <c r="C208" s="143"/>
      <c r="D208" s="151"/>
      <c r="E208" s="118"/>
      <c r="F208" s="97">
        <f t="shared" si="18"/>
        <v>0</v>
      </c>
      <c r="G208" s="161"/>
      <c r="H208" s="144"/>
      <c r="I208" s="130" t="e">
        <f>VLOOKUP(H208,Presupuesto!$B$11:$C$565,2,0)</f>
        <v>#N/A</v>
      </c>
      <c r="J208" s="218" t="s">
        <v>1366</v>
      </c>
      <c r="K208" s="98" t="s">
        <v>410</v>
      </c>
    </row>
    <row r="209" spans="3:11" x14ac:dyDescent="0.25">
      <c r="C209" s="143"/>
      <c r="D209" s="151"/>
      <c r="E209" s="118"/>
      <c r="F209" s="97">
        <f t="shared" si="18"/>
        <v>0</v>
      </c>
      <c r="G209" s="161"/>
      <c r="H209" s="144"/>
      <c r="I209" s="130" t="e">
        <f>VLOOKUP(H209,Presupuesto!$B$11:$C$565,2,0)</f>
        <v>#N/A</v>
      </c>
      <c r="J209" s="218" t="s">
        <v>1366</v>
      </c>
      <c r="K209" s="98" t="s">
        <v>410</v>
      </c>
    </row>
    <row r="210" spans="3:11" x14ac:dyDescent="0.25">
      <c r="C210" s="145"/>
      <c r="D210" s="151"/>
      <c r="E210" s="118"/>
      <c r="F210" s="97">
        <f t="shared" si="18"/>
        <v>0</v>
      </c>
      <c r="G210" s="161"/>
      <c r="H210" s="146"/>
      <c r="I210" s="130" t="e">
        <f>VLOOKUP(H210,Presupuesto!$B$11:$C$565,2,0)</f>
        <v>#N/A</v>
      </c>
      <c r="J210" s="218" t="s">
        <v>1366</v>
      </c>
      <c r="K210" s="98" t="s">
        <v>401</v>
      </c>
    </row>
    <row r="211" spans="3:11" x14ac:dyDescent="0.25">
      <c r="C211" s="145"/>
      <c r="D211" s="151"/>
      <c r="E211" s="118"/>
      <c r="F211" s="97">
        <f t="shared" si="18"/>
        <v>0</v>
      </c>
      <c r="G211" s="161"/>
      <c r="H211" s="146"/>
      <c r="I211" s="130" t="e">
        <f>VLOOKUP(H211,Presupuesto!$B$11:$C$565,2,0)</f>
        <v>#N/A</v>
      </c>
      <c r="J211" s="218" t="s">
        <v>1366</v>
      </c>
      <c r="K211" s="98" t="s">
        <v>410</v>
      </c>
    </row>
    <row r="212" spans="3:11" x14ac:dyDescent="0.25">
      <c r="C212" s="145"/>
      <c r="D212" s="151"/>
      <c r="E212" s="118"/>
      <c r="F212" s="97">
        <f t="shared" si="18"/>
        <v>0</v>
      </c>
      <c r="G212" s="161"/>
      <c r="H212" s="146"/>
      <c r="I212" s="130" t="e">
        <f>VLOOKUP(H212,Presupuesto!$B$11:$C$565,2,0)</f>
        <v>#N/A</v>
      </c>
      <c r="J212" s="218" t="s">
        <v>1366</v>
      </c>
      <c r="K212" s="98" t="s">
        <v>410</v>
      </c>
    </row>
    <row r="213" spans="3:11" x14ac:dyDescent="0.25">
      <c r="C213" s="145"/>
      <c r="D213" s="151"/>
      <c r="E213" s="118"/>
      <c r="F213" s="97">
        <f t="shared" si="18"/>
        <v>0</v>
      </c>
      <c r="G213" s="161"/>
      <c r="H213" s="146"/>
      <c r="I213" s="130" t="e">
        <f>VLOOKUP(H213,Presupuesto!$B$11:$C$565,2,0)</f>
        <v>#N/A</v>
      </c>
      <c r="J213" s="218" t="s">
        <v>1366</v>
      </c>
      <c r="K213" s="98" t="s">
        <v>410</v>
      </c>
    </row>
    <row r="214" spans="3:11" ht="15.75" thickBot="1" x14ac:dyDescent="0.3">
      <c r="C214" s="147"/>
      <c r="D214" s="159"/>
      <c r="E214" s="103"/>
      <c r="F214" s="105">
        <f t="shared" si="18"/>
        <v>0</v>
      </c>
      <c r="G214" s="162"/>
      <c r="H214" s="148"/>
      <c r="I214" s="132" t="e">
        <f>VLOOKUP(H214,Presupuesto!$B$11:$C$565,2,0)</f>
        <v>#N/A</v>
      </c>
      <c r="J214" s="218" t="s">
        <v>1366</v>
      </c>
      <c r="K214" s="124" t="s">
        <v>392</v>
      </c>
    </row>
    <row r="217" spans="3:11" ht="15.75" thickBot="1" x14ac:dyDescent="0.3"/>
    <row r="218" spans="3:11" ht="15.75" thickBot="1" x14ac:dyDescent="0.3">
      <c r="C218" s="157" t="s">
        <v>53</v>
      </c>
      <c r="D218" s="372">
        <f>SUM(F225:F259)</f>
        <v>1500</v>
      </c>
      <c r="F218" s="70"/>
      <c r="G218" s="79"/>
      <c r="H218" s="70"/>
      <c r="I218" s="70"/>
    </row>
    <row r="219" spans="3:11" x14ac:dyDescent="0.25">
      <c r="C219" s="70"/>
      <c r="D219" s="31"/>
      <c r="E219" s="93"/>
      <c r="F219" s="93"/>
      <c r="G219" s="93"/>
      <c r="H219" s="76"/>
      <c r="I219" s="76"/>
      <c r="J219" s="76"/>
      <c r="K219" s="112"/>
    </row>
    <row r="220" spans="3:11" x14ac:dyDescent="0.25">
      <c r="C220" s="70"/>
      <c r="D220" s="31"/>
      <c r="E220" s="93"/>
      <c r="F220" s="93"/>
      <c r="G220" s="93"/>
      <c r="H220" s="76"/>
      <c r="I220" s="76"/>
      <c r="J220" s="76"/>
      <c r="K220" s="112"/>
    </row>
    <row r="221" spans="3:11" ht="15.75" x14ac:dyDescent="0.25">
      <c r="C221" s="202" t="s">
        <v>390</v>
      </c>
      <c r="D221" s="368" t="str">
        <f>'15. Gobernabilidad y Proceso...'!G12</f>
        <v>3.1.3</v>
      </c>
      <c r="E221" s="93"/>
      <c r="F221" s="93"/>
      <c r="G221" s="93"/>
      <c r="H221" s="76"/>
      <c r="I221" s="76"/>
      <c r="J221" s="76"/>
      <c r="K221" s="112"/>
    </row>
    <row r="222" spans="3:11" ht="18.75" x14ac:dyDescent="0.25">
      <c r="C222" s="210" t="str">
        <f>IFERROR(VLOOKUP(D221,'1. Desarrollo e Innov. Curricu.'!$F:$G,2,FALSE),IFERROR(VLOOKUP(D221,'2. Investigación Científica'!$F:$G,2,FALSE),IFERROR(VLOOKUP(D221,'3. Vinculación Univ. Sociedad'!$F:$G,2,FALSE),IFERROR(VLOOKUP(D221,'4. Docencia y Profesorado Univ.'!$F:$G,2,FALSE),IFERROR(VLOOKUP(D221,'5. Estudiantes y Graduados'!$F:$G,2,FALSE),IFERROR(VLOOKUP(D221,'11. Gestion Administrativa'!$F:$G,2,FALSE),IFERROR(VLOOKUP(D221,'13. Gestión Académica'!$F:$G,2,FALSE),IFERROR(VLOOKUP(D221,'9. Asegura. de la Calid. y M'!$F:$G,2,FALSE),IFERROR(VLOOKUP(D221,'6. Gestión del Conocimiento'!$F:$G,2,FALSE),IFERROR(VLOOKUP(D221,'15. Gobernabilidad y Proceso...'!$G:$H,2,FALSE),IFERROR(VLOOKUP(D221,'12. Gestión del Talento Humano'!$F:$G,2,FALSE),IFERROR(VLOOKUP(D221,'14. Internacional... de la E.S.'!$F:$G,2,FALSE),IFERROR(VLOOKUP(D221,'10. Posgrado'!$F:$G,2,FALSE),IFERROR(VLOOKUP(D221,'17. Gestión TIC'!$F:$G,2,FALSE),IFERROR(VLOOKUP(D221,'16. Desa. del Sistema Educ.Sup.'!$F:$G,2,FALSE),IFERROR(VLOOKUP(D221,'8. Cultura de Inno. Insti...'!$F:$G,2,FALSE),VLOOKUP(D221,'7. Lo Esencial de la Reforma U.'!$G:$H,2,0)))))))))))))))))</f>
        <v>3.1.3.a) Conversatorio sobre el derecho a la atención especial hacia estudiantes con discapacidad, en estado de embarazo y en grave dificultad, con coordinadores de Carrera. (Insumos: Refrigerio, Reglamento Estudiantes, Trifolio Estudiantes, Reglamento Discapacidad)</v>
      </c>
      <c r="D222" s="31"/>
      <c r="E222" s="93"/>
      <c r="F222" s="93"/>
      <c r="G222" s="93"/>
      <c r="H222" s="76"/>
      <c r="I222" s="76"/>
      <c r="J222" s="76"/>
      <c r="K222" s="112"/>
    </row>
    <row r="223" spans="3:11" ht="15.75" thickBot="1" x14ac:dyDescent="0.3">
      <c r="F223" s="93"/>
      <c r="G223" s="76"/>
      <c r="H223" s="76"/>
      <c r="I223" s="76"/>
    </row>
    <row r="224" spans="3:11" ht="15.75" thickBot="1" x14ac:dyDescent="0.3">
      <c r="C224" s="129" t="s">
        <v>44</v>
      </c>
      <c r="D224" s="129" t="s">
        <v>55</v>
      </c>
      <c r="E224" s="136" t="s">
        <v>57</v>
      </c>
      <c r="F224" s="135" t="s">
        <v>27</v>
      </c>
      <c r="G224" s="133" t="s">
        <v>129</v>
      </c>
      <c r="H224" s="136" t="s">
        <v>46</v>
      </c>
      <c r="I224" s="133" t="s">
        <v>130</v>
      </c>
      <c r="J224" s="133" t="s">
        <v>408</v>
      </c>
      <c r="K224" s="133" t="s">
        <v>409</v>
      </c>
    </row>
    <row r="225" spans="3:11" x14ac:dyDescent="0.25">
      <c r="C225" s="220" t="s">
        <v>437</v>
      </c>
      <c r="D225" s="221"/>
      <c r="E225" s="219">
        <f>HLOOKUP(C225,$AH$2:$BU$3,2,0)</f>
        <v>620</v>
      </c>
      <c r="F225" s="97">
        <f t="shared" ref="F225:F259" si="20">D225*E225</f>
        <v>0</v>
      </c>
      <c r="G225" s="161"/>
      <c r="H225" s="142"/>
      <c r="I225" s="130" t="e">
        <f>VLOOKUP(H225,Presupuesto!$B$11:$C$565,2,0)</f>
        <v>#N/A</v>
      </c>
      <c r="J225" s="218" t="s">
        <v>1468</v>
      </c>
      <c r="K225" s="98" t="s">
        <v>392</v>
      </c>
    </row>
    <row r="226" spans="3:11" x14ac:dyDescent="0.25">
      <c r="C226" s="141"/>
      <c r="D226" s="158"/>
      <c r="E226" s="123"/>
      <c r="F226" s="97">
        <f t="shared" si="20"/>
        <v>0</v>
      </c>
      <c r="G226" s="161"/>
      <c r="H226" s="142"/>
      <c r="I226" s="130" t="e">
        <f>VLOOKUP(H226,Presupuesto!$B$11:$C$565,2,0)</f>
        <v>#N/A</v>
      </c>
      <c r="J226" s="98" t="str">
        <f>$J$225</f>
        <v>Desarrollo del Sistema de Educación Superior</v>
      </c>
      <c r="K226" s="98" t="s">
        <v>410</v>
      </c>
    </row>
    <row r="227" spans="3:11" x14ac:dyDescent="0.25">
      <c r="C227" s="141" t="s">
        <v>1760</v>
      </c>
      <c r="D227" s="158">
        <v>30</v>
      </c>
      <c r="E227" s="123">
        <v>50</v>
      </c>
      <c r="F227" s="97">
        <f t="shared" si="20"/>
        <v>1500</v>
      </c>
      <c r="G227" s="161" t="s">
        <v>127</v>
      </c>
      <c r="H227" s="142" t="s">
        <v>790</v>
      </c>
      <c r="I227" s="130" t="str">
        <f>VLOOKUP(H227,Presupuesto!$B$11:$C$565,2,0)</f>
        <v>ALIMENTOS B EBIDAS PARA PERSONAS</v>
      </c>
      <c r="J227" s="218" t="s">
        <v>1366</v>
      </c>
      <c r="K227" s="98" t="s">
        <v>396</v>
      </c>
    </row>
    <row r="228" spans="3:11" x14ac:dyDescent="0.25">
      <c r="C228" s="141"/>
      <c r="D228" s="158"/>
      <c r="E228" s="123"/>
      <c r="F228" s="97">
        <f t="shared" si="20"/>
        <v>0</v>
      </c>
      <c r="G228" s="161"/>
      <c r="H228" s="142"/>
      <c r="I228" s="130" t="e">
        <f>VLOOKUP(H228,Presupuesto!$B$11:$C$565,2,0)</f>
        <v>#N/A</v>
      </c>
      <c r="J228" s="218" t="s">
        <v>1366</v>
      </c>
      <c r="K228" s="98" t="s">
        <v>410</v>
      </c>
    </row>
    <row r="229" spans="3:11" x14ac:dyDescent="0.25">
      <c r="C229" s="141"/>
      <c r="D229" s="158"/>
      <c r="E229" s="123"/>
      <c r="F229" s="97">
        <f t="shared" si="20"/>
        <v>0</v>
      </c>
      <c r="G229" s="161"/>
      <c r="H229" s="142"/>
      <c r="I229" s="130" t="e">
        <f>VLOOKUP(H229,Presupuesto!$B$11:$C$565,2,0)</f>
        <v>#N/A</v>
      </c>
      <c r="J229" s="218" t="s">
        <v>1366</v>
      </c>
      <c r="K229" s="98" t="s">
        <v>410</v>
      </c>
    </row>
    <row r="230" spans="3:11" x14ac:dyDescent="0.25">
      <c r="C230" s="141"/>
      <c r="D230" s="158"/>
      <c r="E230" s="123"/>
      <c r="F230" s="97">
        <f t="shared" si="20"/>
        <v>0</v>
      </c>
      <c r="G230" s="161"/>
      <c r="H230" s="142"/>
      <c r="I230" s="130" t="e">
        <f>VLOOKUP(H230,Presupuesto!$B$11:$C$565,2,0)</f>
        <v>#N/A</v>
      </c>
      <c r="J230" s="218" t="s">
        <v>1366</v>
      </c>
      <c r="K230" s="98" t="s">
        <v>399</v>
      </c>
    </row>
    <row r="231" spans="3:11" x14ac:dyDescent="0.25">
      <c r="C231" s="141"/>
      <c r="D231" s="158"/>
      <c r="E231" s="123"/>
      <c r="F231" s="97">
        <f t="shared" si="20"/>
        <v>0</v>
      </c>
      <c r="G231" s="161"/>
      <c r="H231" s="142"/>
      <c r="I231" s="130" t="e">
        <f>VLOOKUP(H231,Presupuesto!$B$11:$C$565,2,0)</f>
        <v>#N/A</v>
      </c>
      <c r="J231" s="218" t="s">
        <v>1366</v>
      </c>
      <c r="K231" s="98" t="s">
        <v>410</v>
      </c>
    </row>
    <row r="232" spans="3:11" x14ac:dyDescent="0.25">
      <c r="C232" s="141"/>
      <c r="D232" s="158"/>
      <c r="E232" s="123"/>
      <c r="F232" s="97">
        <f t="shared" si="20"/>
        <v>0</v>
      </c>
      <c r="G232" s="161"/>
      <c r="H232" s="142"/>
      <c r="I232" s="130" t="e">
        <f>VLOOKUP(H232,Presupuesto!$B$11:$C$565,2,0)</f>
        <v>#N/A</v>
      </c>
      <c r="J232" s="218" t="s">
        <v>1366</v>
      </c>
      <c r="K232" s="98" t="s">
        <v>410</v>
      </c>
    </row>
    <row r="233" spans="3:11" x14ac:dyDescent="0.25">
      <c r="C233" s="141"/>
      <c r="D233" s="158"/>
      <c r="E233" s="123"/>
      <c r="F233" s="97">
        <f t="shared" si="20"/>
        <v>0</v>
      </c>
      <c r="G233" s="161"/>
      <c r="H233" s="142"/>
      <c r="I233" s="130" t="e">
        <f>VLOOKUP(H233,Presupuesto!$B$11:$C$565,2,0)</f>
        <v>#N/A</v>
      </c>
      <c r="J233" s="218" t="s">
        <v>1366</v>
      </c>
      <c r="K233" s="98" t="s">
        <v>410</v>
      </c>
    </row>
    <row r="234" spans="3:11" x14ac:dyDescent="0.25">
      <c r="C234" s="141"/>
      <c r="D234" s="158"/>
      <c r="E234" s="123"/>
      <c r="F234" s="97">
        <f t="shared" si="20"/>
        <v>0</v>
      </c>
      <c r="G234" s="161"/>
      <c r="H234" s="142"/>
      <c r="I234" s="130" t="e">
        <f>VLOOKUP(H234,Presupuesto!$B$11:$C$565,2,0)</f>
        <v>#N/A</v>
      </c>
      <c r="J234" s="218" t="s">
        <v>1366</v>
      </c>
      <c r="K234" s="98" t="s">
        <v>410</v>
      </c>
    </row>
    <row r="235" spans="3:11" x14ac:dyDescent="0.25">
      <c r="C235" s="141"/>
      <c r="D235" s="158"/>
      <c r="E235" s="123"/>
      <c r="F235" s="97">
        <f t="shared" si="20"/>
        <v>0</v>
      </c>
      <c r="G235" s="161"/>
      <c r="H235" s="142"/>
      <c r="I235" s="130" t="e">
        <f>VLOOKUP(H235,Presupuesto!$B$11:$C$565,2,0)</f>
        <v>#N/A</v>
      </c>
      <c r="J235" s="218" t="s">
        <v>1366</v>
      </c>
      <c r="K235" s="98" t="s">
        <v>410</v>
      </c>
    </row>
    <row r="236" spans="3:11" x14ac:dyDescent="0.25">
      <c r="C236" s="141"/>
      <c r="D236" s="158"/>
      <c r="E236" s="123"/>
      <c r="F236" s="97">
        <f t="shared" si="20"/>
        <v>0</v>
      </c>
      <c r="G236" s="161"/>
      <c r="H236" s="142"/>
      <c r="I236" s="130" t="e">
        <f>VLOOKUP(H236,Presupuesto!$B$11:$C$565,2,0)</f>
        <v>#N/A</v>
      </c>
      <c r="J236" s="218" t="s">
        <v>1366</v>
      </c>
      <c r="K236" s="98" t="s">
        <v>410</v>
      </c>
    </row>
    <row r="237" spans="3:11" x14ac:dyDescent="0.25">
      <c r="C237" s="141"/>
      <c r="D237" s="158"/>
      <c r="E237" s="123"/>
      <c r="F237" s="97">
        <f t="shared" si="20"/>
        <v>0</v>
      </c>
      <c r="G237" s="161"/>
      <c r="H237" s="142"/>
      <c r="I237" s="130" t="e">
        <f>VLOOKUP(H237,Presupuesto!$B$11:$C$565,2,0)</f>
        <v>#N/A</v>
      </c>
      <c r="J237" s="218" t="s">
        <v>1366</v>
      </c>
      <c r="K237" s="98" t="s">
        <v>410</v>
      </c>
    </row>
    <row r="238" spans="3:11" x14ac:dyDescent="0.25">
      <c r="C238" s="141"/>
      <c r="D238" s="158"/>
      <c r="E238" s="123"/>
      <c r="F238" s="97">
        <f t="shared" si="20"/>
        <v>0</v>
      </c>
      <c r="G238" s="161"/>
      <c r="H238" s="142"/>
      <c r="I238" s="130" t="e">
        <f>VLOOKUP(H238,Presupuesto!$B$11:$C$565,2,0)</f>
        <v>#N/A</v>
      </c>
      <c r="J238" s="218" t="s">
        <v>1366</v>
      </c>
      <c r="K238" s="98" t="s">
        <v>410</v>
      </c>
    </row>
    <row r="239" spans="3:11" x14ac:dyDescent="0.25">
      <c r="C239" s="141"/>
      <c r="D239" s="158"/>
      <c r="E239" s="123"/>
      <c r="F239" s="97">
        <f t="shared" si="20"/>
        <v>0</v>
      </c>
      <c r="G239" s="161"/>
      <c r="H239" s="142"/>
      <c r="I239" s="130" t="e">
        <f>VLOOKUP(H239,Presupuesto!$B$11:$C$565,2,0)</f>
        <v>#N/A</v>
      </c>
      <c r="J239" s="218" t="s">
        <v>1366</v>
      </c>
      <c r="K239" s="98" t="s">
        <v>410</v>
      </c>
    </row>
    <row r="240" spans="3:11" x14ac:dyDescent="0.25">
      <c r="C240" s="141"/>
      <c r="D240" s="158"/>
      <c r="E240" s="123"/>
      <c r="F240" s="97">
        <f t="shared" si="20"/>
        <v>0</v>
      </c>
      <c r="G240" s="161"/>
      <c r="H240" s="142"/>
      <c r="I240" s="130" t="e">
        <f>VLOOKUP(H240,Presupuesto!$B$11:$C$565,2,0)</f>
        <v>#N/A</v>
      </c>
      <c r="J240" s="218" t="s">
        <v>1366</v>
      </c>
      <c r="K240" s="98" t="s">
        <v>410</v>
      </c>
    </row>
    <row r="241" spans="3:11" x14ac:dyDescent="0.25">
      <c r="C241" s="141"/>
      <c r="D241" s="158"/>
      <c r="E241" s="123"/>
      <c r="F241" s="97">
        <f t="shared" si="20"/>
        <v>0</v>
      </c>
      <c r="G241" s="161"/>
      <c r="H241" s="142"/>
      <c r="I241" s="130" t="e">
        <f>VLOOKUP(H241,Presupuesto!$B$11:$C$565,2,0)</f>
        <v>#N/A</v>
      </c>
      <c r="J241" s="218" t="s">
        <v>1366</v>
      </c>
      <c r="K241" s="98" t="s">
        <v>410</v>
      </c>
    </row>
    <row r="242" spans="3:11" x14ac:dyDescent="0.25">
      <c r="C242" s="141"/>
      <c r="D242" s="158"/>
      <c r="E242" s="123"/>
      <c r="F242" s="97">
        <f t="shared" si="20"/>
        <v>0</v>
      </c>
      <c r="G242" s="161"/>
      <c r="H242" s="142"/>
      <c r="I242" s="130" t="e">
        <f>VLOOKUP(H242,Presupuesto!$B$11:$C$565,2,0)</f>
        <v>#N/A</v>
      </c>
      <c r="J242" s="218" t="s">
        <v>1366</v>
      </c>
      <c r="K242" s="98" t="s">
        <v>410</v>
      </c>
    </row>
    <row r="243" spans="3:11" x14ac:dyDescent="0.25">
      <c r="C243" s="141"/>
      <c r="D243" s="158"/>
      <c r="E243" s="123"/>
      <c r="F243" s="97">
        <f t="shared" si="20"/>
        <v>0</v>
      </c>
      <c r="G243" s="161"/>
      <c r="H243" s="142"/>
      <c r="I243" s="130" t="e">
        <f>VLOOKUP(H243,Presupuesto!$B$11:$C$565,2,0)</f>
        <v>#N/A</v>
      </c>
      <c r="J243" s="218" t="s">
        <v>1366</v>
      </c>
      <c r="K243" s="98" t="s">
        <v>410</v>
      </c>
    </row>
    <row r="244" spans="3:11" x14ac:dyDescent="0.25">
      <c r="C244" s="141"/>
      <c r="D244" s="158"/>
      <c r="E244" s="123"/>
      <c r="F244" s="97">
        <f t="shared" si="20"/>
        <v>0</v>
      </c>
      <c r="G244" s="161"/>
      <c r="H244" s="142"/>
      <c r="I244" s="130" t="e">
        <f>VLOOKUP(H244,Presupuesto!$B$11:$C$565,2,0)</f>
        <v>#N/A</v>
      </c>
      <c r="J244" s="218" t="s">
        <v>1366</v>
      </c>
      <c r="K244" s="98" t="s">
        <v>410</v>
      </c>
    </row>
    <row r="245" spans="3:11" x14ac:dyDescent="0.25">
      <c r="C245" s="141"/>
      <c r="D245" s="158"/>
      <c r="E245" s="123"/>
      <c r="F245" s="97">
        <f t="shared" si="20"/>
        <v>0</v>
      </c>
      <c r="G245" s="161"/>
      <c r="H245" s="142"/>
      <c r="I245" s="130" t="e">
        <f>VLOOKUP(H245,Presupuesto!$B$11:$C$565,2,0)</f>
        <v>#N/A</v>
      </c>
      <c r="J245" s="218" t="s">
        <v>1366</v>
      </c>
      <c r="K245" s="98" t="s">
        <v>410</v>
      </c>
    </row>
    <row r="246" spans="3:11" x14ac:dyDescent="0.25">
      <c r="C246" s="141"/>
      <c r="D246" s="158"/>
      <c r="E246" s="123"/>
      <c r="F246" s="97">
        <f t="shared" si="20"/>
        <v>0</v>
      </c>
      <c r="G246" s="161"/>
      <c r="H246" s="142"/>
      <c r="I246" s="130" t="e">
        <f>VLOOKUP(H246,Presupuesto!$B$11:$C$565,2,0)</f>
        <v>#N/A</v>
      </c>
      <c r="J246" s="218" t="s">
        <v>1366</v>
      </c>
      <c r="K246" s="98" t="s">
        <v>410</v>
      </c>
    </row>
    <row r="247" spans="3:11" x14ac:dyDescent="0.25">
      <c r="C247" s="143"/>
      <c r="D247" s="151"/>
      <c r="E247" s="118"/>
      <c r="F247" s="97">
        <f t="shared" si="20"/>
        <v>0</v>
      </c>
      <c r="G247" s="161"/>
      <c r="H247" s="144"/>
      <c r="I247" s="130" t="e">
        <f>VLOOKUP(H247,Presupuesto!$B$11:$C$565,2,0)</f>
        <v>#N/A</v>
      </c>
      <c r="J247" s="218" t="s">
        <v>1366</v>
      </c>
      <c r="K247" s="98" t="s">
        <v>410</v>
      </c>
    </row>
    <row r="248" spans="3:11" x14ac:dyDescent="0.25">
      <c r="C248" s="143"/>
      <c r="D248" s="151"/>
      <c r="E248" s="118"/>
      <c r="F248" s="97">
        <f t="shared" si="20"/>
        <v>0</v>
      </c>
      <c r="G248" s="161"/>
      <c r="H248" s="144"/>
      <c r="I248" s="130" t="e">
        <f>VLOOKUP(H248,Presupuesto!$B$11:$C$565,2,0)</f>
        <v>#N/A</v>
      </c>
      <c r="J248" s="218" t="s">
        <v>1366</v>
      </c>
      <c r="K248" s="98" t="s">
        <v>410</v>
      </c>
    </row>
    <row r="249" spans="3:11" x14ac:dyDescent="0.25">
      <c r="C249" s="143"/>
      <c r="D249" s="151"/>
      <c r="E249" s="118"/>
      <c r="F249" s="97">
        <f t="shared" si="20"/>
        <v>0</v>
      </c>
      <c r="G249" s="161"/>
      <c r="H249" s="144"/>
      <c r="I249" s="130" t="e">
        <f>VLOOKUP(H249,Presupuesto!$B$11:$C$565,2,0)</f>
        <v>#N/A</v>
      </c>
      <c r="J249" s="218" t="s">
        <v>1366</v>
      </c>
      <c r="K249" s="98" t="s">
        <v>410</v>
      </c>
    </row>
    <row r="250" spans="3:11" x14ac:dyDescent="0.25">
      <c r="C250" s="143"/>
      <c r="D250" s="151"/>
      <c r="E250" s="118"/>
      <c r="F250" s="97">
        <f t="shared" si="20"/>
        <v>0</v>
      </c>
      <c r="G250" s="161"/>
      <c r="H250" s="144"/>
      <c r="I250" s="130" t="e">
        <f>VLOOKUP(H250,Presupuesto!$B$11:$C$565,2,0)</f>
        <v>#N/A</v>
      </c>
      <c r="J250" s="218" t="s">
        <v>1366</v>
      </c>
      <c r="K250" s="98" t="s">
        <v>410</v>
      </c>
    </row>
    <row r="251" spans="3:11" x14ac:dyDescent="0.25">
      <c r="C251" s="143"/>
      <c r="D251" s="151"/>
      <c r="E251" s="118"/>
      <c r="F251" s="97">
        <f t="shared" si="20"/>
        <v>0</v>
      </c>
      <c r="G251" s="161"/>
      <c r="H251" s="144"/>
      <c r="I251" s="130" t="e">
        <f>VLOOKUP(H251,Presupuesto!$B$11:$C$565,2,0)</f>
        <v>#N/A</v>
      </c>
      <c r="J251" s="218" t="s">
        <v>1366</v>
      </c>
      <c r="K251" s="98" t="s">
        <v>410</v>
      </c>
    </row>
    <row r="252" spans="3:11" x14ac:dyDescent="0.25">
      <c r="C252" s="143"/>
      <c r="D252" s="151"/>
      <c r="E252" s="118"/>
      <c r="F252" s="97">
        <f t="shared" si="20"/>
        <v>0</v>
      </c>
      <c r="G252" s="161"/>
      <c r="H252" s="144"/>
      <c r="I252" s="130" t="e">
        <f>VLOOKUP(H252,Presupuesto!$B$11:$C$565,2,0)</f>
        <v>#N/A</v>
      </c>
      <c r="J252" s="218" t="s">
        <v>1366</v>
      </c>
      <c r="K252" s="98" t="s">
        <v>410</v>
      </c>
    </row>
    <row r="253" spans="3:11" x14ac:dyDescent="0.25">
      <c r="C253" s="143"/>
      <c r="D253" s="151"/>
      <c r="E253" s="118"/>
      <c r="F253" s="97">
        <f t="shared" si="20"/>
        <v>0</v>
      </c>
      <c r="G253" s="161"/>
      <c r="H253" s="144"/>
      <c r="I253" s="130" t="e">
        <f>VLOOKUP(H253,Presupuesto!$B$11:$C$565,2,0)</f>
        <v>#N/A</v>
      </c>
      <c r="J253" s="218" t="s">
        <v>1366</v>
      </c>
      <c r="K253" s="98" t="s">
        <v>410</v>
      </c>
    </row>
    <row r="254" spans="3:11" x14ac:dyDescent="0.25">
      <c r="C254" s="143"/>
      <c r="D254" s="151"/>
      <c r="E254" s="118"/>
      <c r="F254" s="97">
        <f t="shared" si="20"/>
        <v>0</v>
      </c>
      <c r="G254" s="161"/>
      <c r="H254" s="144"/>
      <c r="I254" s="130" t="e">
        <f>VLOOKUP(H254,Presupuesto!$B$11:$C$565,2,0)</f>
        <v>#N/A</v>
      </c>
      <c r="J254" s="218" t="s">
        <v>1366</v>
      </c>
      <c r="K254" s="98" t="s">
        <v>410</v>
      </c>
    </row>
    <row r="255" spans="3:11" x14ac:dyDescent="0.25">
      <c r="C255" s="145"/>
      <c r="D255" s="151"/>
      <c r="E255" s="118"/>
      <c r="F255" s="97">
        <f t="shared" si="20"/>
        <v>0</v>
      </c>
      <c r="G255" s="161"/>
      <c r="H255" s="146"/>
      <c r="I255" s="130" t="e">
        <f>VLOOKUP(H255,Presupuesto!$B$11:$C$565,2,0)</f>
        <v>#N/A</v>
      </c>
      <c r="J255" s="218" t="s">
        <v>1366</v>
      </c>
      <c r="K255" s="98" t="s">
        <v>401</v>
      </c>
    </row>
    <row r="256" spans="3:11" x14ac:dyDescent="0.25">
      <c r="C256" s="145"/>
      <c r="D256" s="151"/>
      <c r="E256" s="118"/>
      <c r="F256" s="97">
        <f t="shared" si="20"/>
        <v>0</v>
      </c>
      <c r="G256" s="161"/>
      <c r="H256" s="146"/>
      <c r="I256" s="130" t="e">
        <f>VLOOKUP(H256,Presupuesto!$B$11:$C$565,2,0)</f>
        <v>#N/A</v>
      </c>
      <c r="J256" s="218" t="s">
        <v>1366</v>
      </c>
      <c r="K256" s="98" t="s">
        <v>410</v>
      </c>
    </row>
    <row r="257" spans="1:11" x14ac:dyDescent="0.25">
      <c r="C257" s="145"/>
      <c r="D257" s="151"/>
      <c r="E257" s="118"/>
      <c r="F257" s="97">
        <f t="shared" si="20"/>
        <v>0</v>
      </c>
      <c r="G257" s="161"/>
      <c r="H257" s="146"/>
      <c r="I257" s="130" t="e">
        <f>VLOOKUP(H257,Presupuesto!$B$11:$C$565,2,0)</f>
        <v>#N/A</v>
      </c>
      <c r="J257" s="218" t="s">
        <v>1366</v>
      </c>
      <c r="K257" s="98" t="s">
        <v>410</v>
      </c>
    </row>
    <row r="258" spans="1:11" x14ac:dyDescent="0.25">
      <c r="C258" s="145"/>
      <c r="D258" s="151"/>
      <c r="E258" s="118"/>
      <c r="F258" s="97">
        <f t="shared" si="20"/>
        <v>0</v>
      </c>
      <c r="G258" s="161"/>
      <c r="H258" s="146"/>
      <c r="I258" s="130" t="e">
        <f>VLOOKUP(H258,Presupuesto!$B$11:$C$565,2,0)</f>
        <v>#N/A</v>
      </c>
      <c r="J258" s="218" t="s">
        <v>1366</v>
      </c>
      <c r="K258" s="98" t="s">
        <v>410</v>
      </c>
    </row>
    <row r="259" spans="1:11" ht="15.75" thickBot="1" x14ac:dyDescent="0.3">
      <c r="C259" s="147"/>
      <c r="D259" s="159"/>
      <c r="E259" s="103"/>
      <c r="F259" s="105">
        <f t="shared" si="20"/>
        <v>0</v>
      </c>
      <c r="G259" s="162"/>
      <c r="H259" s="148"/>
      <c r="I259" s="132" t="e">
        <f>VLOOKUP(H259,Presupuesto!$B$11:$C$565,2,0)</f>
        <v>#N/A</v>
      </c>
      <c r="J259" s="218" t="s">
        <v>1366</v>
      </c>
      <c r="K259" s="124" t="s">
        <v>392</v>
      </c>
    </row>
    <row r="261" spans="1:11" ht="15.75" thickBot="1" x14ac:dyDescent="0.3">
      <c r="A261" s="142" t="s">
        <v>790</v>
      </c>
      <c r="F261" s="90"/>
      <c r="G261" s="89"/>
      <c r="H261" s="90"/>
      <c r="I261" s="90"/>
    </row>
    <row r="262" spans="1:11" ht="15.75" thickBot="1" x14ac:dyDescent="0.3">
      <c r="A262" s="142"/>
      <c r="C262" s="157" t="s">
        <v>53</v>
      </c>
      <c r="D262" s="372">
        <f>SUM(F269:F303)</f>
        <v>1500</v>
      </c>
      <c r="F262" s="70"/>
      <c r="G262" s="79"/>
      <c r="H262" s="70"/>
      <c r="I262" s="70"/>
    </row>
    <row r="263" spans="1:11" x14ac:dyDescent="0.25">
      <c r="C263" s="70"/>
      <c r="D263" s="31"/>
      <c r="E263" s="93"/>
      <c r="F263" s="93"/>
      <c r="G263" s="93"/>
      <c r="H263" s="76"/>
      <c r="I263" s="76"/>
      <c r="J263" s="76"/>
      <c r="K263" s="112"/>
    </row>
    <row r="264" spans="1:11" x14ac:dyDescent="0.25">
      <c r="C264" s="70"/>
      <c r="D264" s="31"/>
      <c r="E264" s="93"/>
      <c r="F264" s="93"/>
      <c r="G264" s="93"/>
      <c r="H264" s="76"/>
      <c r="I264" s="76"/>
      <c r="J264" s="76"/>
      <c r="K264" s="112"/>
    </row>
    <row r="265" spans="1:11" ht="15.75" x14ac:dyDescent="0.25">
      <c r="C265" s="202" t="s">
        <v>390</v>
      </c>
      <c r="D265" s="368" t="str">
        <f>'15. Gobernabilidad y Proceso...'!G13</f>
        <v>3.1.4</v>
      </c>
      <c r="E265" s="93"/>
      <c r="F265" s="93"/>
      <c r="G265" s="93"/>
      <c r="H265" s="76"/>
      <c r="I265" s="76"/>
      <c r="J265" s="76"/>
      <c r="K265" s="112"/>
    </row>
    <row r="266" spans="1:11" ht="18.75" x14ac:dyDescent="0.25">
      <c r="C266" s="210" t="str">
        <f>IFERROR(VLOOKUP(D265,'1. Desarrollo e Innov. Curricu.'!$F:$G,2,FALSE),IFERROR(VLOOKUP(D265,'2. Investigación Científica'!$F:$G,2,FALSE),IFERROR(VLOOKUP(D265,'3. Vinculación Univ. Sociedad'!$F:$G,2,FALSE),IFERROR(VLOOKUP(D265,'4. Docencia y Profesorado Univ.'!$F:$G,2,FALSE),IFERROR(VLOOKUP(D265,'5. Estudiantes y Graduados'!$F:$G,2,FALSE),IFERROR(VLOOKUP(D265,'11. Gestion Administrativa'!$F:$G,2,FALSE),IFERROR(VLOOKUP(D265,'13. Gestión Académica'!$F:$G,2,FALSE),IFERROR(VLOOKUP(D265,'9. Asegura. de la Calid. y M'!$F:$G,2,FALSE),IFERROR(VLOOKUP(D265,'6. Gestión del Conocimiento'!$F:$G,2,FALSE),IFERROR(VLOOKUP(D265,'15. Gobernabilidad y Proceso...'!$G:$H,2,FALSE),IFERROR(VLOOKUP(D265,'12. Gestión del Talento Humano'!$F:$G,2,FALSE),IFERROR(VLOOKUP(D265,'14. Internacional... de la E.S.'!$F:$G,2,FALSE),IFERROR(VLOOKUP(D265,'10. Posgrado'!$F:$G,2,FALSE),IFERROR(VLOOKUP(D265,'17. Gestión TIC'!$F:$G,2,FALSE),IFERROR(VLOOKUP(D265,'16. Desa. del Sistema Educ.Sup.'!$F:$G,2,FALSE),IFERROR(VLOOKUP(D265,'8. Cultura de Inno. Insti...'!$F:$G,2,FALSE),VLOOKUP(D265,'7. Lo Esencial de la Reforma U.'!$G:$H,2,0)))))))))))))))))</f>
        <v>3.1.4. Conversatorio sobre el debido proceso en la aplicación del régimen disciplinario a docentes con Jefes de Departamento. (Insumos: Refrigerio, Trifolio de Docentes, Código de Ética, Trifolio Comisionado)</v>
      </c>
      <c r="D266" s="31"/>
      <c r="E266" s="93"/>
      <c r="F266" s="93"/>
      <c r="G266" s="93"/>
      <c r="H266" s="76"/>
      <c r="I266" s="76"/>
      <c r="J266" s="76"/>
      <c r="K266" s="112"/>
    </row>
    <row r="267" spans="1:11" ht="15.75" thickBot="1" x14ac:dyDescent="0.3">
      <c r="F267" s="93"/>
      <c r="G267" s="76"/>
      <c r="H267" s="76"/>
      <c r="I267" s="76"/>
    </row>
    <row r="268" spans="1:11" ht="15.75" thickBot="1" x14ac:dyDescent="0.3">
      <c r="C268" s="129" t="s">
        <v>44</v>
      </c>
      <c r="D268" s="129" t="s">
        <v>55</v>
      </c>
      <c r="E268" s="136" t="s">
        <v>57</v>
      </c>
      <c r="F268" s="135" t="s">
        <v>27</v>
      </c>
      <c r="G268" s="133" t="s">
        <v>129</v>
      </c>
      <c r="H268" s="136" t="s">
        <v>46</v>
      </c>
      <c r="I268" s="133" t="s">
        <v>130</v>
      </c>
      <c r="J268" s="133" t="s">
        <v>408</v>
      </c>
      <c r="K268" s="133" t="s">
        <v>409</v>
      </c>
    </row>
    <row r="269" spans="1:11" x14ac:dyDescent="0.25">
      <c r="C269" s="220" t="s">
        <v>437</v>
      </c>
      <c r="D269" s="221"/>
      <c r="E269" s="219">
        <f>HLOOKUP(C269,$AH$2:$BU$3,2,0)</f>
        <v>620</v>
      </c>
      <c r="F269" s="97">
        <f t="shared" ref="F269:F303" si="21">D269*E269</f>
        <v>0</v>
      </c>
      <c r="G269" s="161"/>
      <c r="H269" s="142"/>
      <c r="I269" s="130" t="e">
        <f>VLOOKUP(H269,Presupuesto!$B$11:$C$565,2,0)</f>
        <v>#N/A</v>
      </c>
      <c r="J269" s="218" t="s">
        <v>1468</v>
      </c>
      <c r="K269" s="98" t="s">
        <v>392</v>
      </c>
    </row>
    <row r="270" spans="1:11" x14ac:dyDescent="0.25">
      <c r="C270" s="141"/>
      <c r="D270" s="158"/>
      <c r="E270" s="123"/>
      <c r="F270" s="97">
        <f t="shared" si="21"/>
        <v>0</v>
      </c>
      <c r="G270" s="161"/>
      <c r="H270" s="142"/>
      <c r="I270" s="130" t="e">
        <f>VLOOKUP(H270,Presupuesto!$B$11:$C$565,2,0)</f>
        <v>#N/A</v>
      </c>
      <c r="J270" s="98" t="str">
        <f>$J$269</f>
        <v>Desarrollo del Sistema de Educación Superior</v>
      </c>
      <c r="K270" s="98" t="s">
        <v>410</v>
      </c>
    </row>
    <row r="271" spans="1:11" x14ac:dyDescent="0.25">
      <c r="C271" s="141"/>
      <c r="D271" s="158"/>
      <c r="E271" s="123"/>
      <c r="F271" s="97">
        <f t="shared" si="21"/>
        <v>0</v>
      </c>
      <c r="G271" s="161"/>
      <c r="H271" s="142"/>
      <c r="I271" s="130" t="e">
        <f>VLOOKUP(H271,Presupuesto!$B$11:$C$565,2,0)</f>
        <v>#N/A</v>
      </c>
      <c r="J271" s="98" t="str">
        <f t="shared" ref="J271:J303" si="22">$J$269</f>
        <v>Desarrollo del Sistema de Educación Superior</v>
      </c>
      <c r="K271" s="98" t="s">
        <v>410</v>
      </c>
    </row>
    <row r="272" spans="1:11" x14ac:dyDescent="0.25">
      <c r="C272" s="141" t="s">
        <v>1760</v>
      </c>
      <c r="D272" s="158">
        <v>30</v>
      </c>
      <c r="E272" s="123">
        <v>50</v>
      </c>
      <c r="F272" s="97">
        <f t="shared" si="21"/>
        <v>1500</v>
      </c>
      <c r="G272" s="161" t="s">
        <v>127</v>
      </c>
      <c r="H272" s="142" t="s">
        <v>790</v>
      </c>
      <c r="I272" s="130" t="str">
        <f>VLOOKUP(H272,Presupuesto!$B$11:$C$565,2,0)</f>
        <v>ALIMENTOS B EBIDAS PARA PERSONAS</v>
      </c>
      <c r="J272" s="218" t="s">
        <v>1366</v>
      </c>
      <c r="K272" s="98" t="s">
        <v>395</v>
      </c>
    </row>
    <row r="273" spans="3:11" x14ac:dyDescent="0.25">
      <c r="C273" s="141"/>
      <c r="D273" s="158"/>
      <c r="E273" s="123"/>
      <c r="F273" s="97">
        <f t="shared" si="21"/>
        <v>0</v>
      </c>
      <c r="G273" s="161"/>
      <c r="H273" s="142"/>
      <c r="I273" s="130" t="e">
        <f>VLOOKUP(H273,Presupuesto!$B$11:$C$565,2,0)</f>
        <v>#N/A</v>
      </c>
      <c r="J273" s="98" t="str">
        <f t="shared" si="22"/>
        <v>Desarrollo del Sistema de Educación Superior</v>
      </c>
      <c r="K273" s="98" t="s">
        <v>410</v>
      </c>
    </row>
    <row r="274" spans="3:11" x14ac:dyDescent="0.25">
      <c r="C274" s="141"/>
      <c r="D274" s="158"/>
      <c r="E274" s="123"/>
      <c r="F274" s="97">
        <f t="shared" si="21"/>
        <v>0</v>
      </c>
      <c r="G274" s="161"/>
      <c r="H274" s="142"/>
      <c r="I274" s="130" t="e">
        <f>VLOOKUP(H274,Presupuesto!$B$11:$C$565,2,0)</f>
        <v>#N/A</v>
      </c>
      <c r="J274" s="98" t="str">
        <f t="shared" si="22"/>
        <v>Desarrollo del Sistema de Educación Superior</v>
      </c>
      <c r="K274" s="98" t="s">
        <v>399</v>
      </c>
    </row>
    <row r="275" spans="3:11" x14ac:dyDescent="0.25">
      <c r="C275" s="141"/>
      <c r="D275" s="158"/>
      <c r="E275" s="123"/>
      <c r="F275" s="97">
        <f t="shared" si="21"/>
        <v>0</v>
      </c>
      <c r="G275" s="161"/>
      <c r="H275" s="142"/>
      <c r="I275" s="130" t="e">
        <f>VLOOKUP(H275,Presupuesto!$B$11:$C$565,2,0)</f>
        <v>#N/A</v>
      </c>
      <c r="J275" s="98" t="str">
        <f t="shared" si="22"/>
        <v>Desarrollo del Sistema de Educación Superior</v>
      </c>
      <c r="K275" s="98" t="s">
        <v>410</v>
      </c>
    </row>
    <row r="276" spans="3:11" x14ac:dyDescent="0.25">
      <c r="C276" s="141"/>
      <c r="D276" s="158"/>
      <c r="E276" s="123"/>
      <c r="F276" s="97">
        <f t="shared" si="21"/>
        <v>0</v>
      </c>
      <c r="G276" s="161"/>
      <c r="H276" s="142"/>
      <c r="I276" s="130" t="e">
        <f>VLOOKUP(H276,Presupuesto!$B$11:$C$565,2,0)</f>
        <v>#N/A</v>
      </c>
      <c r="J276" s="98" t="str">
        <f t="shared" si="22"/>
        <v>Desarrollo del Sistema de Educación Superior</v>
      </c>
      <c r="K276" s="98" t="s">
        <v>410</v>
      </c>
    </row>
    <row r="277" spans="3:11" x14ac:dyDescent="0.25">
      <c r="C277" s="141"/>
      <c r="D277" s="158"/>
      <c r="E277" s="123"/>
      <c r="F277" s="97">
        <f t="shared" si="21"/>
        <v>0</v>
      </c>
      <c r="G277" s="161"/>
      <c r="H277" s="142"/>
      <c r="I277" s="130" t="e">
        <f>VLOOKUP(H277,Presupuesto!$B$11:$C$565,2,0)</f>
        <v>#N/A</v>
      </c>
      <c r="J277" s="98" t="str">
        <f t="shared" si="22"/>
        <v>Desarrollo del Sistema de Educación Superior</v>
      </c>
      <c r="K277" s="98" t="s">
        <v>410</v>
      </c>
    </row>
    <row r="278" spans="3:11" x14ac:dyDescent="0.25">
      <c r="C278" s="141"/>
      <c r="D278" s="158"/>
      <c r="E278" s="123"/>
      <c r="F278" s="97">
        <f t="shared" si="21"/>
        <v>0</v>
      </c>
      <c r="G278" s="161"/>
      <c r="H278" s="142"/>
      <c r="I278" s="130" t="e">
        <f>VLOOKUP(H278,Presupuesto!$B$11:$C$565,2,0)</f>
        <v>#N/A</v>
      </c>
      <c r="J278" s="98" t="str">
        <f t="shared" si="22"/>
        <v>Desarrollo del Sistema de Educación Superior</v>
      </c>
      <c r="K278" s="98" t="s">
        <v>410</v>
      </c>
    </row>
    <row r="279" spans="3:11" x14ac:dyDescent="0.25">
      <c r="C279" s="141"/>
      <c r="D279" s="158"/>
      <c r="E279" s="123"/>
      <c r="F279" s="97">
        <f t="shared" si="21"/>
        <v>0</v>
      </c>
      <c r="G279" s="161"/>
      <c r="H279" s="142"/>
      <c r="I279" s="130" t="e">
        <f>VLOOKUP(H279,Presupuesto!$B$11:$C$565,2,0)</f>
        <v>#N/A</v>
      </c>
      <c r="J279" s="98" t="str">
        <f t="shared" si="22"/>
        <v>Desarrollo del Sistema de Educación Superior</v>
      </c>
      <c r="K279" s="98" t="s">
        <v>410</v>
      </c>
    </row>
    <row r="280" spans="3:11" x14ac:dyDescent="0.25">
      <c r="C280" s="141"/>
      <c r="D280" s="158"/>
      <c r="E280" s="123"/>
      <c r="F280" s="97">
        <f t="shared" si="21"/>
        <v>0</v>
      </c>
      <c r="G280" s="161"/>
      <c r="H280" s="142"/>
      <c r="I280" s="130" t="e">
        <f>VLOOKUP(H280,Presupuesto!$B$11:$C$565,2,0)</f>
        <v>#N/A</v>
      </c>
      <c r="J280" s="98" t="str">
        <f t="shared" si="22"/>
        <v>Desarrollo del Sistema de Educación Superior</v>
      </c>
      <c r="K280" s="98" t="s">
        <v>410</v>
      </c>
    </row>
    <row r="281" spans="3:11" x14ac:dyDescent="0.25">
      <c r="C281" s="141"/>
      <c r="D281" s="158"/>
      <c r="E281" s="123"/>
      <c r="F281" s="97">
        <f t="shared" si="21"/>
        <v>0</v>
      </c>
      <c r="G281" s="161"/>
      <c r="H281" s="142"/>
      <c r="I281" s="130" t="e">
        <f>VLOOKUP(H281,Presupuesto!$B$11:$C$565,2,0)</f>
        <v>#N/A</v>
      </c>
      <c r="J281" s="98" t="str">
        <f t="shared" si="22"/>
        <v>Desarrollo del Sistema de Educación Superior</v>
      </c>
      <c r="K281" s="98" t="s">
        <v>410</v>
      </c>
    </row>
    <row r="282" spans="3:11" x14ac:dyDescent="0.25">
      <c r="C282" s="141"/>
      <c r="D282" s="158"/>
      <c r="E282" s="123"/>
      <c r="F282" s="97">
        <f t="shared" si="21"/>
        <v>0</v>
      </c>
      <c r="G282" s="161"/>
      <c r="H282" s="142"/>
      <c r="I282" s="130" t="e">
        <f>VLOOKUP(H282,Presupuesto!$B$11:$C$565,2,0)</f>
        <v>#N/A</v>
      </c>
      <c r="J282" s="98" t="str">
        <f t="shared" si="22"/>
        <v>Desarrollo del Sistema de Educación Superior</v>
      </c>
      <c r="K282" s="98" t="s">
        <v>410</v>
      </c>
    </row>
    <row r="283" spans="3:11" x14ac:dyDescent="0.25">
      <c r="C283" s="141"/>
      <c r="D283" s="158"/>
      <c r="E283" s="123"/>
      <c r="F283" s="97">
        <f t="shared" si="21"/>
        <v>0</v>
      </c>
      <c r="G283" s="161"/>
      <c r="H283" s="142"/>
      <c r="I283" s="130" t="e">
        <f>VLOOKUP(H283,Presupuesto!$B$11:$C$565,2,0)</f>
        <v>#N/A</v>
      </c>
      <c r="J283" s="98" t="str">
        <f t="shared" si="22"/>
        <v>Desarrollo del Sistema de Educación Superior</v>
      </c>
      <c r="K283" s="98" t="s">
        <v>410</v>
      </c>
    </row>
    <row r="284" spans="3:11" x14ac:dyDescent="0.25">
      <c r="C284" s="141"/>
      <c r="D284" s="158"/>
      <c r="E284" s="123"/>
      <c r="F284" s="97">
        <f t="shared" si="21"/>
        <v>0</v>
      </c>
      <c r="G284" s="161"/>
      <c r="H284" s="142"/>
      <c r="I284" s="130" t="e">
        <f>VLOOKUP(H284,Presupuesto!$B$11:$C$565,2,0)</f>
        <v>#N/A</v>
      </c>
      <c r="J284" s="98" t="str">
        <f t="shared" si="22"/>
        <v>Desarrollo del Sistema de Educación Superior</v>
      </c>
      <c r="K284" s="98" t="s">
        <v>410</v>
      </c>
    </row>
    <row r="285" spans="3:11" x14ac:dyDescent="0.25">
      <c r="C285" s="141"/>
      <c r="D285" s="158"/>
      <c r="E285" s="123"/>
      <c r="F285" s="97">
        <f t="shared" si="21"/>
        <v>0</v>
      </c>
      <c r="G285" s="161"/>
      <c r="H285" s="142"/>
      <c r="I285" s="130" t="e">
        <f>VLOOKUP(H285,Presupuesto!$B$11:$C$565,2,0)</f>
        <v>#N/A</v>
      </c>
      <c r="J285" s="98" t="str">
        <f t="shared" si="22"/>
        <v>Desarrollo del Sistema de Educación Superior</v>
      </c>
      <c r="K285" s="98" t="s">
        <v>410</v>
      </c>
    </row>
    <row r="286" spans="3:11" x14ac:dyDescent="0.25">
      <c r="C286" s="141"/>
      <c r="D286" s="158"/>
      <c r="E286" s="123"/>
      <c r="F286" s="97">
        <f t="shared" si="21"/>
        <v>0</v>
      </c>
      <c r="G286" s="161"/>
      <c r="H286" s="142"/>
      <c r="I286" s="130" t="e">
        <f>VLOOKUP(H286,Presupuesto!$B$11:$C$565,2,0)</f>
        <v>#N/A</v>
      </c>
      <c r="J286" s="98" t="str">
        <f t="shared" si="22"/>
        <v>Desarrollo del Sistema de Educación Superior</v>
      </c>
      <c r="K286" s="98" t="s">
        <v>410</v>
      </c>
    </row>
    <row r="287" spans="3:11" x14ac:dyDescent="0.25">
      <c r="C287" s="141"/>
      <c r="D287" s="158"/>
      <c r="E287" s="123"/>
      <c r="F287" s="97">
        <f t="shared" si="21"/>
        <v>0</v>
      </c>
      <c r="G287" s="161"/>
      <c r="H287" s="142"/>
      <c r="I287" s="130" t="e">
        <f>VLOOKUP(H287,Presupuesto!$B$11:$C$565,2,0)</f>
        <v>#N/A</v>
      </c>
      <c r="J287" s="98" t="str">
        <f t="shared" si="22"/>
        <v>Desarrollo del Sistema de Educación Superior</v>
      </c>
      <c r="K287" s="98" t="s">
        <v>410</v>
      </c>
    </row>
    <row r="288" spans="3:11" x14ac:dyDescent="0.25">
      <c r="C288" s="141"/>
      <c r="D288" s="158"/>
      <c r="E288" s="123"/>
      <c r="F288" s="97">
        <f t="shared" si="21"/>
        <v>0</v>
      </c>
      <c r="G288" s="161"/>
      <c r="H288" s="142"/>
      <c r="I288" s="130" t="e">
        <f>VLOOKUP(H288,Presupuesto!$B$11:$C$565,2,0)</f>
        <v>#N/A</v>
      </c>
      <c r="J288" s="98" t="str">
        <f t="shared" si="22"/>
        <v>Desarrollo del Sistema de Educación Superior</v>
      </c>
      <c r="K288" s="98" t="s">
        <v>410</v>
      </c>
    </row>
    <row r="289" spans="3:11" x14ac:dyDescent="0.25">
      <c r="C289" s="141"/>
      <c r="D289" s="158"/>
      <c r="E289" s="123"/>
      <c r="F289" s="97">
        <f t="shared" si="21"/>
        <v>0</v>
      </c>
      <c r="G289" s="161"/>
      <c r="H289" s="142"/>
      <c r="I289" s="130" t="e">
        <f>VLOOKUP(H289,Presupuesto!$B$11:$C$565,2,0)</f>
        <v>#N/A</v>
      </c>
      <c r="J289" s="98" t="str">
        <f t="shared" si="22"/>
        <v>Desarrollo del Sistema de Educación Superior</v>
      </c>
      <c r="K289" s="98" t="s">
        <v>410</v>
      </c>
    </row>
    <row r="290" spans="3:11" x14ac:dyDescent="0.25">
      <c r="C290" s="141"/>
      <c r="D290" s="158"/>
      <c r="E290" s="123"/>
      <c r="F290" s="97">
        <f t="shared" si="21"/>
        <v>0</v>
      </c>
      <c r="G290" s="161"/>
      <c r="H290" s="142"/>
      <c r="I290" s="130" t="e">
        <f>VLOOKUP(H290,Presupuesto!$B$11:$C$565,2,0)</f>
        <v>#N/A</v>
      </c>
      <c r="J290" s="98" t="str">
        <f t="shared" si="22"/>
        <v>Desarrollo del Sistema de Educación Superior</v>
      </c>
      <c r="K290" s="98" t="s">
        <v>410</v>
      </c>
    </row>
    <row r="291" spans="3:11" x14ac:dyDescent="0.25">
      <c r="C291" s="143"/>
      <c r="D291" s="151"/>
      <c r="E291" s="118"/>
      <c r="F291" s="97">
        <f t="shared" si="21"/>
        <v>0</v>
      </c>
      <c r="G291" s="161"/>
      <c r="H291" s="144"/>
      <c r="I291" s="130" t="e">
        <f>VLOOKUP(H291,Presupuesto!$B$11:$C$565,2,0)</f>
        <v>#N/A</v>
      </c>
      <c r="J291" s="98" t="str">
        <f t="shared" si="22"/>
        <v>Desarrollo del Sistema de Educación Superior</v>
      </c>
      <c r="K291" s="98" t="s">
        <v>410</v>
      </c>
    </row>
    <row r="292" spans="3:11" x14ac:dyDescent="0.25">
      <c r="C292" s="143"/>
      <c r="D292" s="151"/>
      <c r="E292" s="118"/>
      <c r="F292" s="97">
        <f t="shared" si="21"/>
        <v>0</v>
      </c>
      <c r="G292" s="161"/>
      <c r="H292" s="144"/>
      <c r="I292" s="130" t="e">
        <f>VLOOKUP(H292,Presupuesto!$B$11:$C$565,2,0)</f>
        <v>#N/A</v>
      </c>
      <c r="J292" s="98" t="str">
        <f t="shared" si="22"/>
        <v>Desarrollo del Sistema de Educación Superior</v>
      </c>
      <c r="K292" s="98" t="s">
        <v>410</v>
      </c>
    </row>
    <row r="293" spans="3:11" x14ac:dyDescent="0.25">
      <c r="C293" s="143"/>
      <c r="D293" s="151"/>
      <c r="E293" s="118"/>
      <c r="F293" s="97">
        <f t="shared" si="21"/>
        <v>0</v>
      </c>
      <c r="G293" s="161"/>
      <c r="H293" s="144"/>
      <c r="I293" s="130" t="e">
        <f>VLOOKUP(H293,Presupuesto!$B$11:$C$565,2,0)</f>
        <v>#N/A</v>
      </c>
      <c r="J293" s="98" t="str">
        <f t="shared" si="22"/>
        <v>Desarrollo del Sistema de Educación Superior</v>
      </c>
      <c r="K293" s="98" t="s">
        <v>410</v>
      </c>
    </row>
    <row r="294" spans="3:11" x14ac:dyDescent="0.25">
      <c r="C294" s="143"/>
      <c r="D294" s="151"/>
      <c r="E294" s="118"/>
      <c r="F294" s="97">
        <f t="shared" si="21"/>
        <v>0</v>
      </c>
      <c r="G294" s="161"/>
      <c r="H294" s="144"/>
      <c r="I294" s="130" t="e">
        <f>VLOOKUP(H294,Presupuesto!$B$11:$C$565,2,0)</f>
        <v>#N/A</v>
      </c>
      <c r="J294" s="98" t="str">
        <f t="shared" si="22"/>
        <v>Desarrollo del Sistema de Educación Superior</v>
      </c>
      <c r="K294" s="98" t="s">
        <v>410</v>
      </c>
    </row>
    <row r="295" spans="3:11" x14ac:dyDescent="0.25">
      <c r="C295" s="143"/>
      <c r="D295" s="151"/>
      <c r="E295" s="118"/>
      <c r="F295" s="97">
        <f t="shared" si="21"/>
        <v>0</v>
      </c>
      <c r="G295" s="161"/>
      <c r="H295" s="144"/>
      <c r="I295" s="130" t="e">
        <f>VLOOKUP(H295,Presupuesto!$B$11:$C$565,2,0)</f>
        <v>#N/A</v>
      </c>
      <c r="J295" s="98" t="str">
        <f t="shared" si="22"/>
        <v>Desarrollo del Sistema de Educación Superior</v>
      </c>
      <c r="K295" s="98" t="s">
        <v>410</v>
      </c>
    </row>
    <row r="296" spans="3:11" x14ac:dyDescent="0.25">
      <c r="C296" s="143"/>
      <c r="D296" s="151"/>
      <c r="E296" s="118"/>
      <c r="F296" s="97">
        <f t="shared" si="21"/>
        <v>0</v>
      </c>
      <c r="G296" s="161"/>
      <c r="H296" s="144"/>
      <c r="I296" s="130" t="e">
        <f>VLOOKUP(H296,Presupuesto!$B$11:$C$565,2,0)</f>
        <v>#N/A</v>
      </c>
      <c r="J296" s="98" t="str">
        <f t="shared" si="22"/>
        <v>Desarrollo del Sistema de Educación Superior</v>
      </c>
      <c r="K296" s="98" t="s">
        <v>410</v>
      </c>
    </row>
    <row r="297" spans="3:11" x14ac:dyDescent="0.25">
      <c r="C297" s="143"/>
      <c r="D297" s="151"/>
      <c r="E297" s="118"/>
      <c r="F297" s="97">
        <f t="shared" si="21"/>
        <v>0</v>
      </c>
      <c r="G297" s="161"/>
      <c r="H297" s="144"/>
      <c r="I297" s="130" t="e">
        <f>VLOOKUP(H297,Presupuesto!$B$11:$C$565,2,0)</f>
        <v>#N/A</v>
      </c>
      <c r="J297" s="98" t="str">
        <f t="shared" si="22"/>
        <v>Desarrollo del Sistema de Educación Superior</v>
      </c>
      <c r="K297" s="98" t="s">
        <v>410</v>
      </c>
    </row>
    <row r="298" spans="3:11" x14ac:dyDescent="0.25">
      <c r="C298" s="143"/>
      <c r="D298" s="151"/>
      <c r="E298" s="118"/>
      <c r="F298" s="97">
        <f t="shared" si="21"/>
        <v>0</v>
      </c>
      <c r="G298" s="161"/>
      <c r="H298" s="144"/>
      <c r="I298" s="130" t="e">
        <f>VLOOKUP(H298,Presupuesto!$B$11:$C$565,2,0)</f>
        <v>#N/A</v>
      </c>
      <c r="J298" s="98" t="str">
        <f t="shared" si="22"/>
        <v>Desarrollo del Sistema de Educación Superior</v>
      </c>
      <c r="K298" s="98" t="s">
        <v>410</v>
      </c>
    </row>
    <row r="299" spans="3:11" x14ac:dyDescent="0.25">
      <c r="C299" s="145"/>
      <c r="D299" s="151"/>
      <c r="E299" s="118"/>
      <c r="F299" s="97">
        <f t="shared" si="21"/>
        <v>0</v>
      </c>
      <c r="G299" s="161"/>
      <c r="H299" s="146"/>
      <c r="I299" s="130" t="e">
        <f>VLOOKUP(H299,Presupuesto!$B$11:$C$565,2,0)</f>
        <v>#N/A</v>
      </c>
      <c r="J299" s="98" t="str">
        <f t="shared" si="22"/>
        <v>Desarrollo del Sistema de Educación Superior</v>
      </c>
      <c r="K299" s="98" t="s">
        <v>401</v>
      </c>
    </row>
    <row r="300" spans="3:11" x14ac:dyDescent="0.25">
      <c r="C300" s="145"/>
      <c r="D300" s="151"/>
      <c r="E300" s="118"/>
      <c r="F300" s="97">
        <f t="shared" si="21"/>
        <v>0</v>
      </c>
      <c r="G300" s="161"/>
      <c r="H300" s="146"/>
      <c r="I300" s="130" t="e">
        <f>VLOOKUP(H300,Presupuesto!$B$11:$C$565,2,0)</f>
        <v>#N/A</v>
      </c>
      <c r="J300" s="98" t="str">
        <f t="shared" si="22"/>
        <v>Desarrollo del Sistema de Educación Superior</v>
      </c>
      <c r="K300" s="98" t="s">
        <v>410</v>
      </c>
    </row>
    <row r="301" spans="3:11" x14ac:dyDescent="0.25">
      <c r="C301" s="145"/>
      <c r="D301" s="151"/>
      <c r="E301" s="118"/>
      <c r="F301" s="97">
        <f t="shared" si="21"/>
        <v>0</v>
      </c>
      <c r="G301" s="161"/>
      <c r="H301" s="146"/>
      <c r="I301" s="130" t="e">
        <f>VLOOKUP(H301,Presupuesto!$B$11:$C$565,2,0)</f>
        <v>#N/A</v>
      </c>
      <c r="J301" s="98" t="str">
        <f t="shared" si="22"/>
        <v>Desarrollo del Sistema de Educación Superior</v>
      </c>
      <c r="K301" s="98" t="s">
        <v>410</v>
      </c>
    </row>
    <row r="302" spans="3:11" x14ac:dyDescent="0.25">
      <c r="C302" s="145"/>
      <c r="D302" s="151"/>
      <c r="E302" s="118"/>
      <c r="F302" s="97">
        <f t="shared" si="21"/>
        <v>0</v>
      </c>
      <c r="G302" s="161"/>
      <c r="H302" s="146"/>
      <c r="I302" s="130" t="e">
        <f>VLOOKUP(H302,Presupuesto!$B$11:$C$565,2,0)</f>
        <v>#N/A</v>
      </c>
      <c r="J302" s="98" t="str">
        <f t="shared" si="22"/>
        <v>Desarrollo del Sistema de Educación Superior</v>
      </c>
      <c r="K302" s="98" t="s">
        <v>410</v>
      </c>
    </row>
    <row r="303" spans="3:11" ht="15.75" thickBot="1" x14ac:dyDescent="0.3">
      <c r="C303" s="147"/>
      <c r="D303" s="159"/>
      <c r="E303" s="103"/>
      <c r="F303" s="105">
        <f t="shared" si="21"/>
        <v>0</v>
      </c>
      <c r="G303" s="162"/>
      <c r="H303" s="148"/>
      <c r="I303" s="132" t="e">
        <f>VLOOKUP(H303,Presupuesto!$B$11:$C$565,2,0)</f>
        <v>#N/A</v>
      </c>
      <c r="J303" s="106" t="str">
        <f t="shared" si="22"/>
        <v>Desarrollo del Sistema de Educación Superior</v>
      </c>
      <c r="K303" s="124" t="s">
        <v>392</v>
      </c>
    </row>
    <row r="305" spans="3:11" ht="15.75" thickBot="1" x14ac:dyDescent="0.3"/>
    <row r="306" spans="3:11" ht="15.75" thickBot="1" x14ac:dyDescent="0.3">
      <c r="C306" s="157" t="s">
        <v>53</v>
      </c>
      <c r="D306" s="372">
        <f>SUM(F313:F347)</f>
        <v>71300</v>
      </c>
      <c r="F306" s="70"/>
      <c r="G306" s="79"/>
      <c r="H306" s="70"/>
      <c r="I306" s="70"/>
    </row>
    <row r="307" spans="3:11" x14ac:dyDescent="0.25">
      <c r="C307" s="70"/>
      <c r="D307" s="31"/>
      <c r="E307" s="93"/>
      <c r="F307" s="93"/>
      <c r="G307" s="93"/>
      <c r="H307" s="76"/>
      <c r="I307" s="76"/>
      <c r="J307" s="76"/>
      <c r="K307" s="112"/>
    </row>
    <row r="308" spans="3:11" x14ac:dyDescent="0.25">
      <c r="C308" s="70"/>
      <c r="D308" s="31"/>
      <c r="E308" s="93"/>
      <c r="F308" s="93"/>
      <c r="G308" s="93"/>
      <c r="H308" s="76"/>
      <c r="I308" s="76"/>
      <c r="J308" s="76"/>
      <c r="K308" s="112"/>
    </row>
    <row r="309" spans="3:11" ht="15.75" x14ac:dyDescent="0.25">
      <c r="C309" s="202" t="s">
        <v>390</v>
      </c>
      <c r="D309" s="368" t="str">
        <f>'15. Gobernabilidad y Proceso...'!G17</f>
        <v>1.2.1</v>
      </c>
      <c r="E309" s="93"/>
      <c r="F309" s="93"/>
      <c r="G309" s="93"/>
      <c r="H309" s="76"/>
      <c r="I309" s="76"/>
      <c r="J309" s="76"/>
      <c r="K309" s="112"/>
    </row>
    <row r="310" spans="3:11" ht="18.75" x14ac:dyDescent="0.25">
      <c r="C310" s="210" t="str">
        <f>IFERROR(VLOOKUP(D309,'1. Desarrollo e Innov. Curricu.'!$F:$G,2,FALSE),IFERROR(VLOOKUP(D309,'2. Investigación Científica'!$F:$G,2,FALSE),IFERROR(VLOOKUP(D309,'3. Vinculación Univ. Sociedad'!$F:$G,2,FALSE),IFERROR(VLOOKUP(D309,'4. Docencia y Profesorado Univ.'!$F:$G,2,FALSE),IFERROR(VLOOKUP(D309,'5. Estudiantes y Graduados'!$F:$G,2,FALSE),IFERROR(VLOOKUP(D309,'11. Gestion Administrativa'!$F:$G,2,FALSE),IFERROR(VLOOKUP(D309,'13. Gestión Académica'!$F:$G,2,FALSE),IFERROR(VLOOKUP(D309,'9. Asegura. de la Calid. y M'!$F:$G,2,FALSE),IFERROR(VLOOKUP(D309,'6. Gestión del Conocimiento'!$F:$G,2,FALSE),IFERROR(VLOOKUP(D309,'15. Gobernabilidad y Proceso...'!$G:$H,2,FALSE),IFERROR(VLOOKUP(D309,'12. Gestión del Talento Humano'!$F:$G,2,FALSE),IFERROR(VLOOKUP(D309,'14. Internacional... de la E.S.'!$F:$G,2,FALSE),IFERROR(VLOOKUP(D309,'10. Posgrado'!$F:$G,2,FALSE),IFERROR(VLOOKUP(D309,'17. Gestión TIC'!$F:$G,2,FALSE),IFERROR(VLOOKUP(D309,'16. Desa. del Sistema Educ.Sup.'!$F:$G,2,FALSE),IFERROR(VLOOKUP(D309,'8. Cultura de Inno. Insti...'!$F:$G,2,FALSE),VLOOKUP(D309,'7. Lo Esencial de la Reforma U.'!$G:$H,2,0)))))))))))))))))</f>
        <v>1.2.1 a) Giras por la Delegación itinerante, a los centros regionales CURLP,CURNO,UNAHTEC-DANLI, CURC, CRAED,  CRAED LA ENTRADA, CURVA, CUROC, INSTITUTO DE TELA, correspondientes a la zona en atención, con el fin de atender orinetaciones, solicitudes y quejas.</v>
      </c>
      <c r="D310" s="31"/>
      <c r="E310" s="93"/>
      <c r="F310" s="93"/>
      <c r="G310" s="93"/>
      <c r="H310" s="76"/>
      <c r="I310" s="76"/>
      <c r="J310" s="76"/>
      <c r="K310" s="112"/>
    </row>
    <row r="311" spans="3:11" ht="15.75" thickBot="1" x14ac:dyDescent="0.3">
      <c r="F311" s="93"/>
      <c r="G311" s="76"/>
      <c r="H311" s="76"/>
      <c r="I311" s="76"/>
    </row>
    <row r="312" spans="3:11" ht="15.75" thickBot="1" x14ac:dyDescent="0.3">
      <c r="C312" s="129" t="s">
        <v>44</v>
      </c>
      <c r="D312" s="129" t="s">
        <v>55</v>
      </c>
      <c r="E312" s="136" t="s">
        <v>57</v>
      </c>
      <c r="F312" s="135" t="s">
        <v>27</v>
      </c>
      <c r="G312" s="133" t="s">
        <v>129</v>
      </c>
      <c r="H312" s="136" t="s">
        <v>46</v>
      </c>
      <c r="I312" s="133" t="s">
        <v>130</v>
      </c>
      <c r="J312" s="133" t="s">
        <v>408</v>
      </c>
      <c r="K312" s="133" t="s">
        <v>409</v>
      </c>
    </row>
    <row r="313" spans="3:11" x14ac:dyDescent="0.25">
      <c r="C313" s="220" t="s">
        <v>437</v>
      </c>
      <c r="D313" s="221"/>
      <c r="E313" s="219">
        <f>HLOOKUP(C313,$AH$2:$BU$3,2,0)</f>
        <v>620</v>
      </c>
      <c r="F313" s="97">
        <f t="shared" ref="F313:F347" si="23">D313*E313</f>
        <v>0</v>
      </c>
      <c r="G313" s="161"/>
      <c r="H313" s="142"/>
      <c r="I313" s="130" t="e">
        <f>VLOOKUP(H313,Presupuesto!$B$11:$C$565,2,0)</f>
        <v>#N/A</v>
      </c>
      <c r="J313" s="218" t="s">
        <v>1468</v>
      </c>
      <c r="K313" s="98" t="s">
        <v>392</v>
      </c>
    </row>
    <row r="314" spans="3:11" x14ac:dyDescent="0.25">
      <c r="C314" s="220" t="s">
        <v>430</v>
      </c>
      <c r="D314" s="221">
        <f>2*2*2.5</f>
        <v>10</v>
      </c>
      <c r="E314" s="557">
        <f t="shared" ref="E314:E315" si="24">HLOOKUP(C314,$AH$2:$BU$3,2,0)</f>
        <v>1750</v>
      </c>
      <c r="F314" s="97">
        <f t="shared" si="23"/>
        <v>17500</v>
      </c>
      <c r="G314" s="161" t="s">
        <v>127</v>
      </c>
      <c r="H314" s="142" t="s">
        <v>759</v>
      </c>
      <c r="I314" s="130" t="str">
        <f>VLOOKUP(H314,Presupuesto!$B$11:$C$565,2,0)</f>
        <v>VIATICOS NACIONALES</v>
      </c>
      <c r="J314" s="218" t="s">
        <v>1366</v>
      </c>
      <c r="K314" s="98" t="s">
        <v>393</v>
      </c>
    </row>
    <row r="315" spans="3:11" x14ac:dyDescent="0.25">
      <c r="C315" s="220" t="s">
        <v>432</v>
      </c>
      <c r="D315" s="221">
        <f>2*2*2.5</f>
        <v>10</v>
      </c>
      <c r="E315" s="557">
        <f t="shared" si="24"/>
        <v>900</v>
      </c>
      <c r="F315" s="97">
        <f t="shared" si="23"/>
        <v>9000</v>
      </c>
      <c r="G315" s="161" t="s">
        <v>127</v>
      </c>
      <c r="H315" s="142" t="s">
        <v>759</v>
      </c>
      <c r="I315" s="130" t="str">
        <f>VLOOKUP(H315,Presupuesto!$B$11:$C$565,2,0)</f>
        <v>VIATICOS NACIONALES</v>
      </c>
      <c r="J315" s="218" t="s">
        <v>1366</v>
      </c>
      <c r="K315" s="98" t="s">
        <v>400</v>
      </c>
    </row>
    <row r="316" spans="3:11" x14ac:dyDescent="0.25">
      <c r="C316" s="141" t="s">
        <v>1885</v>
      </c>
      <c r="D316" s="158">
        <v>8</v>
      </c>
      <c r="E316" s="123">
        <v>5600</v>
      </c>
      <c r="F316" s="97">
        <f t="shared" si="23"/>
        <v>44800</v>
      </c>
      <c r="G316" s="161" t="s">
        <v>127</v>
      </c>
      <c r="H316" s="146" t="s">
        <v>747</v>
      </c>
      <c r="I316" s="130" t="str">
        <f>VLOOKUP(H316,Presupuesto!$B$11:$C$565,2,0)</f>
        <v>PASAJES NACIONALES</v>
      </c>
      <c r="J316" s="218" t="s">
        <v>1366</v>
      </c>
      <c r="K316" s="98" t="s">
        <v>410</v>
      </c>
    </row>
    <row r="317" spans="3:11" x14ac:dyDescent="0.25">
      <c r="C317" s="141"/>
      <c r="D317" s="158"/>
      <c r="E317" s="123"/>
      <c r="F317" s="97">
        <f t="shared" si="23"/>
        <v>0</v>
      </c>
      <c r="G317" s="161"/>
      <c r="H317" s="142"/>
      <c r="I317" s="130" t="e">
        <f>VLOOKUP(H317,Presupuesto!$B$11:$C$565,2,0)</f>
        <v>#N/A</v>
      </c>
      <c r="J317" s="218" t="s">
        <v>1366</v>
      </c>
      <c r="K317" s="98" t="s">
        <v>410</v>
      </c>
    </row>
    <row r="318" spans="3:11" x14ac:dyDescent="0.25">
      <c r="C318" s="141"/>
      <c r="D318" s="158"/>
      <c r="E318" s="123"/>
      <c r="F318" s="97">
        <f t="shared" si="23"/>
        <v>0</v>
      </c>
      <c r="G318" s="161"/>
      <c r="H318" s="142"/>
      <c r="I318" s="130" t="e">
        <f>VLOOKUP(H318,Presupuesto!$B$11:$C$565,2,0)</f>
        <v>#N/A</v>
      </c>
      <c r="J318" s="218" t="s">
        <v>1366</v>
      </c>
      <c r="K318" s="98" t="s">
        <v>399</v>
      </c>
    </row>
    <row r="319" spans="3:11" x14ac:dyDescent="0.25">
      <c r="C319" s="141"/>
      <c r="D319" s="158"/>
      <c r="E319" s="123"/>
      <c r="F319" s="97">
        <f t="shared" si="23"/>
        <v>0</v>
      </c>
      <c r="G319" s="161"/>
      <c r="H319" s="142"/>
      <c r="I319" s="130" t="e">
        <f>VLOOKUP(H319,Presupuesto!$B$11:$C$565,2,0)</f>
        <v>#N/A</v>
      </c>
      <c r="J319" s="218" t="s">
        <v>1366</v>
      </c>
      <c r="K319" s="98" t="s">
        <v>410</v>
      </c>
    </row>
    <row r="320" spans="3:11" x14ac:dyDescent="0.25">
      <c r="C320" s="141"/>
      <c r="D320" s="158"/>
      <c r="E320" s="123"/>
      <c r="F320" s="97">
        <f t="shared" si="23"/>
        <v>0</v>
      </c>
      <c r="G320" s="161"/>
      <c r="H320" s="142"/>
      <c r="I320" s="130" t="e">
        <f>VLOOKUP(H320,Presupuesto!$B$11:$C$565,2,0)</f>
        <v>#N/A</v>
      </c>
      <c r="J320" s="218" t="s">
        <v>1366</v>
      </c>
      <c r="K320" s="98" t="s">
        <v>410</v>
      </c>
    </row>
    <row r="321" spans="3:11" x14ac:dyDescent="0.25">
      <c r="C321" s="141"/>
      <c r="D321" s="158"/>
      <c r="E321" s="123"/>
      <c r="F321" s="97">
        <f t="shared" si="23"/>
        <v>0</v>
      </c>
      <c r="G321" s="161"/>
      <c r="H321" s="142"/>
      <c r="I321" s="130" t="e">
        <f>VLOOKUP(H321,Presupuesto!$B$11:$C$565,2,0)</f>
        <v>#N/A</v>
      </c>
      <c r="J321" s="218" t="s">
        <v>1366</v>
      </c>
      <c r="K321" s="98" t="s">
        <v>410</v>
      </c>
    </row>
    <row r="322" spans="3:11" x14ac:dyDescent="0.25">
      <c r="C322" s="141"/>
      <c r="D322" s="158"/>
      <c r="E322" s="123"/>
      <c r="F322" s="97">
        <f t="shared" si="23"/>
        <v>0</v>
      </c>
      <c r="G322" s="161"/>
      <c r="H322" s="142"/>
      <c r="I322" s="130" t="e">
        <f>VLOOKUP(H322,Presupuesto!$B$11:$C$565,2,0)</f>
        <v>#N/A</v>
      </c>
      <c r="J322" s="218" t="s">
        <v>1366</v>
      </c>
      <c r="K322" s="98" t="s">
        <v>410</v>
      </c>
    </row>
    <row r="323" spans="3:11" x14ac:dyDescent="0.25">
      <c r="C323" s="141"/>
      <c r="D323" s="158"/>
      <c r="E323" s="123"/>
      <c r="F323" s="97">
        <f t="shared" si="23"/>
        <v>0</v>
      </c>
      <c r="G323" s="161"/>
      <c r="H323" s="142"/>
      <c r="I323" s="130" t="e">
        <f>VLOOKUP(H323,Presupuesto!$B$11:$C$565,2,0)</f>
        <v>#N/A</v>
      </c>
      <c r="J323" s="218" t="s">
        <v>1366</v>
      </c>
      <c r="K323" s="98" t="s">
        <v>410</v>
      </c>
    </row>
    <row r="324" spans="3:11" x14ac:dyDescent="0.25">
      <c r="C324" s="141"/>
      <c r="D324" s="158"/>
      <c r="E324" s="123"/>
      <c r="F324" s="97">
        <f t="shared" si="23"/>
        <v>0</v>
      </c>
      <c r="G324" s="161"/>
      <c r="H324" s="142"/>
      <c r="I324" s="130" t="e">
        <f>VLOOKUP(H324,Presupuesto!$B$11:$C$565,2,0)</f>
        <v>#N/A</v>
      </c>
      <c r="J324" s="218" t="s">
        <v>1366</v>
      </c>
      <c r="K324" s="98" t="s">
        <v>410</v>
      </c>
    </row>
    <row r="325" spans="3:11" x14ac:dyDescent="0.25">
      <c r="C325" s="141"/>
      <c r="D325" s="158"/>
      <c r="E325" s="123"/>
      <c r="F325" s="97">
        <f t="shared" si="23"/>
        <v>0</v>
      </c>
      <c r="G325" s="161"/>
      <c r="H325" s="142"/>
      <c r="I325" s="130" t="e">
        <f>VLOOKUP(H325,Presupuesto!$B$11:$C$565,2,0)</f>
        <v>#N/A</v>
      </c>
      <c r="J325" s="218" t="s">
        <v>1366</v>
      </c>
      <c r="K325" s="98" t="s">
        <v>410</v>
      </c>
    </row>
    <row r="326" spans="3:11" x14ac:dyDescent="0.25">
      <c r="C326" s="141"/>
      <c r="D326" s="158"/>
      <c r="E326" s="123"/>
      <c r="F326" s="97">
        <f t="shared" si="23"/>
        <v>0</v>
      </c>
      <c r="G326" s="161"/>
      <c r="H326" s="142"/>
      <c r="I326" s="130" t="e">
        <f>VLOOKUP(H326,Presupuesto!$B$11:$C$565,2,0)</f>
        <v>#N/A</v>
      </c>
      <c r="J326" s="218" t="s">
        <v>1366</v>
      </c>
      <c r="K326" s="98" t="s">
        <v>410</v>
      </c>
    </row>
    <row r="327" spans="3:11" x14ac:dyDescent="0.25">
      <c r="C327" s="141"/>
      <c r="D327" s="158"/>
      <c r="E327" s="123"/>
      <c r="F327" s="97">
        <f t="shared" si="23"/>
        <v>0</v>
      </c>
      <c r="G327" s="161"/>
      <c r="H327" s="142"/>
      <c r="I327" s="130" t="e">
        <f>VLOOKUP(H327,Presupuesto!$B$11:$C$565,2,0)</f>
        <v>#N/A</v>
      </c>
      <c r="J327" s="218" t="s">
        <v>1366</v>
      </c>
      <c r="K327" s="98" t="s">
        <v>410</v>
      </c>
    </row>
    <row r="328" spans="3:11" x14ac:dyDescent="0.25">
      <c r="C328" s="141"/>
      <c r="D328" s="158"/>
      <c r="E328" s="123"/>
      <c r="F328" s="97">
        <f t="shared" si="23"/>
        <v>0</v>
      </c>
      <c r="G328" s="161"/>
      <c r="H328" s="142"/>
      <c r="I328" s="130" t="e">
        <f>VLOOKUP(H328,Presupuesto!$B$11:$C$565,2,0)</f>
        <v>#N/A</v>
      </c>
      <c r="J328" s="218" t="s">
        <v>1366</v>
      </c>
      <c r="K328" s="98" t="s">
        <v>410</v>
      </c>
    </row>
    <row r="329" spans="3:11" x14ac:dyDescent="0.25">
      <c r="C329" s="141"/>
      <c r="D329" s="158"/>
      <c r="E329" s="123"/>
      <c r="F329" s="97">
        <f t="shared" si="23"/>
        <v>0</v>
      </c>
      <c r="G329" s="161"/>
      <c r="H329" s="142"/>
      <c r="I329" s="130" t="e">
        <f>VLOOKUP(H329,Presupuesto!$B$11:$C$565,2,0)</f>
        <v>#N/A</v>
      </c>
      <c r="J329" s="98" t="str">
        <f t="shared" ref="J329:J347" si="25">$J$313</f>
        <v>Desarrollo del Sistema de Educación Superior</v>
      </c>
      <c r="K329" s="98" t="s">
        <v>410</v>
      </c>
    </row>
    <row r="330" spans="3:11" x14ac:dyDescent="0.25">
      <c r="C330" s="141"/>
      <c r="D330" s="158"/>
      <c r="E330" s="123"/>
      <c r="F330" s="97">
        <f t="shared" si="23"/>
        <v>0</v>
      </c>
      <c r="G330" s="161"/>
      <c r="H330" s="142"/>
      <c r="I330" s="130" t="e">
        <f>VLOOKUP(H330,Presupuesto!$B$11:$C$565,2,0)</f>
        <v>#N/A</v>
      </c>
      <c r="J330" s="98" t="str">
        <f t="shared" si="25"/>
        <v>Desarrollo del Sistema de Educación Superior</v>
      </c>
      <c r="K330" s="98" t="s">
        <v>410</v>
      </c>
    </row>
    <row r="331" spans="3:11" x14ac:dyDescent="0.25">
      <c r="C331" s="141"/>
      <c r="D331" s="158"/>
      <c r="E331" s="123"/>
      <c r="F331" s="97">
        <f t="shared" si="23"/>
        <v>0</v>
      </c>
      <c r="G331" s="161"/>
      <c r="H331" s="142"/>
      <c r="I331" s="130" t="e">
        <f>VLOOKUP(H331,Presupuesto!$B$11:$C$565,2,0)</f>
        <v>#N/A</v>
      </c>
      <c r="J331" s="98" t="str">
        <f t="shared" si="25"/>
        <v>Desarrollo del Sistema de Educación Superior</v>
      </c>
      <c r="K331" s="98" t="s">
        <v>410</v>
      </c>
    </row>
    <row r="332" spans="3:11" x14ac:dyDescent="0.25">
      <c r="C332" s="141"/>
      <c r="D332" s="158"/>
      <c r="E332" s="123"/>
      <c r="F332" s="97">
        <f t="shared" si="23"/>
        <v>0</v>
      </c>
      <c r="G332" s="161"/>
      <c r="H332" s="142"/>
      <c r="I332" s="130" t="e">
        <f>VLOOKUP(H332,Presupuesto!$B$11:$C$565,2,0)</f>
        <v>#N/A</v>
      </c>
      <c r="J332" s="98" t="str">
        <f t="shared" si="25"/>
        <v>Desarrollo del Sistema de Educación Superior</v>
      </c>
      <c r="K332" s="98" t="s">
        <v>410</v>
      </c>
    </row>
    <row r="333" spans="3:11" x14ac:dyDescent="0.25">
      <c r="C333" s="141"/>
      <c r="D333" s="158"/>
      <c r="E333" s="123"/>
      <c r="F333" s="97">
        <f t="shared" si="23"/>
        <v>0</v>
      </c>
      <c r="G333" s="161"/>
      <c r="H333" s="142"/>
      <c r="I333" s="130" t="e">
        <f>VLOOKUP(H333,Presupuesto!$B$11:$C$565,2,0)</f>
        <v>#N/A</v>
      </c>
      <c r="J333" s="98" t="str">
        <f t="shared" si="25"/>
        <v>Desarrollo del Sistema de Educación Superior</v>
      </c>
      <c r="K333" s="98" t="s">
        <v>410</v>
      </c>
    </row>
    <row r="334" spans="3:11" x14ac:dyDescent="0.25">
      <c r="C334" s="141"/>
      <c r="D334" s="158"/>
      <c r="E334" s="123"/>
      <c r="F334" s="97">
        <f t="shared" si="23"/>
        <v>0</v>
      </c>
      <c r="G334" s="161"/>
      <c r="H334" s="142"/>
      <c r="I334" s="130" t="e">
        <f>VLOOKUP(H334,Presupuesto!$B$11:$C$565,2,0)</f>
        <v>#N/A</v>
      </c>
      <c r="J334" s="98" t="str">
        <f t="shared" si="25"/>
        <v>Desarrollo del Sistema de Educación Superior</v>
      </c>
      <c r="K334" s="98" t="s">
        <v>410</v>
      </c>
    </row>
    <row r="335" spans="3:11" x14ac:dyDescent="0.25">
      <c r="C335" s="143"/>
      <c r="D335" s="151"/>
      <c r="E335" s="118"/>
      <c r="F335" s="97">
        <f t="shared" si="23"/>
        <v>0</v>
      </c>
      <c r="G335" s="161"/>
      <c r="H335" s="144"/>
      <c r="I335" s="130" t="e">
        <f>VLOOKUP(H335,Presupuesto!$B$11:$C$565,2,0)</f>
        <v>#N/A</v>
      </c>
      <c r="J335" s="98" t="str">
        <f t="shared" si="25"/>
        <v>Desarrollo del Sistema de Educación Superior</v>
      </c>
      <c r="K335" s="98" t="s">
        <v>410</v>
      </c>
    </row>
    <row r="336" spans="3:11" x14ac:dyDescent="0.25">
      <c r="C336" s="143"/>
      <c r="D336" s="151"/>
      <c r="E336" s="118"/>
      <c r="F336" s="97">
        <f t="shared" si="23"/>
        <v>0</v>
      </c>
      <c r="G336" s="161"/>
      <c r="H336" s="144"/>
      <c r="I336" s="130" t="e">
        <f>VLOOKUP(H336,Presupuesto!$B$11:$C$565,2,0)</f>
        <v>#N/A</v>
      </c>
      <c r="J336" s="98" t="str">
        <f t="shared" si="25"/>
        <v>Desarrollo del Sistema de Educación Superior</v>
      </c>
      <c r="K336" s="98" t="s">
        <v>410</v>
      </c>
    </row>
    <row r="337" spans="3:11" x14ac:dyDescent="0.25">
      <c r="C337" s="143"/>
      <c r="D337" s="151"/>
      <c r="E337" s="118"/>
      <c r="F337" s="97">
        <f t="shared" si="23"/>
        <v>0</v>
      </c>
      <c r="G337" s="161"/>
      <c r="H337" s="144"/>
      <c r="I337" s="130" t="e">
        <f>VLOOKUP(H337,Presupuesto!$B$11:$C$565,2,0)</f>
        <v>#N/A</v>
      </c>
      <c r="J337" s="98" t="str">
        <f t="shared" si="25"/>
        <v>Desarrollo del Sistema de Educación Superior</v>
      </c>
      <c r="K337" s="98" t="s">
        <v>410</v>
      </c>
    </row>
    <row r="338" spans="3:11" x14ac:dyDescent="0.25">
      <c r="C338" s="143"/>
      <c r="D338" s="151"/>
      <c r="E338" s="118"/>
      <c r="F338" s="97">
        <f t="shared" si="23"/>
        <v>0</v>
      </c>
      <c r="G338" s="161"/>
      <c r="H338" s="144"/>
      <c r="I338" s="130" t="e">
        <f>VLOOKUP(H338,Presupuesto!$B$11:$C$565,2,0)</f>
        <v>#N/A</v>
      </c>
      <c r="J338" s="98" t="str">
        <f t="shared" si="25"/>
        <v>Desarrollo del Sistema de Educación Superior</v>
      </c>
      <c r="K338" s="98" t="s">
        <v>410</v>
      </c>
    </row>
    <row r="339" spans="3:11" x14ac:dyDescent="0.25">
      <c r="C339" s="143"/>
      <c r="D339" s="151"/>
      <c r="E339" s="118"/>
      <c r="F339" s="97">
        <f t="shared" si="23"/>
        <v>0</v>
      </c>
      <c r="G339" s="161"/>
      <c r="H339" s="144"/>
      <c r="I339" s="130" t="e">
        <f>VLOOKUP(H339,Presupuesto!$B$11:$C$565,2,0)</f>
        <v>#N/A</v>
      </c>
      <c r="J339" s="98" t="str">
        <f t="shared" si="25"/>
        <v>Desarrollo del Sistema de Educación Superior</v>
      </c>
      <c r="K339" s="98" t="s">
        <v>410</v>
      </c>
    </row>
    <row r="340" spans="3:11" x14ac:dyDescent="0.25">
      <c r="C340" s="143"/>
      <c r="D340" s="151"/>
      <c r="E340" s="118"/>
      <c r="F340" s="97">
        <f t="shared" si="23"/>
        <v>0</v>
      </c>
      <c r="G340" s="161"/>
      <c r="H340" s="144"/>
      <c r="I340" s="130" t="e">
        <f>VLOOKUP(H340,Presupuesto!$B$11:$C$565,2,0)</f>
        <v>#N/A</v>
      </c>
      <c r="J340" s="98" t="str">
        <f t="shared" si="25"/>
        <v>Desarrollo del Sistema de Educación Superior</v>
      </c>
      <c r="K340" s="98" t="s">
        <v>410</v>
      </c>
    </row>
    <row r="341" spans="3:11" x14ac:dyDescent="0.25">
      <c r="C341" s="143"/>
      <c r="D341" s="151"/>
      <c r="E341" s="118"/>
      <c r="F341" s="97">
        <f t="shared" si="23"/>
        <v>0</v>
      </c>
      <c r="G341" s="161"/>
      <c r="H341" s="144"/>
      <c r="I341" s="130" t="e">
        <f>VLOOKUP(H341,Presupuesto!$B$11:$C$565,2,0)</f>
        <v>#N/A</v>
      </c>
      <c r="J341" s="98" t="str">
        <f t="shared" si="25"/>
        <v>Desarrollo del Sistema de Educación Superior</v>
      </c>
      <c r="K341" s="98" t="s">
        <v>410</v>
      </c>
    </row>
    <row r="342" spans="3:11" x14ac:dyDescent="0.25">
      <c r="C342" s="143"/>
      <c r="D342" s="151"/>
      <c r="E342" s="118"/>
      <c r="F342" s="97">
        <f t="shared" si="23"/>
        <v>0</v>
      </c>
      <c r="G342" s="161"/>
      <c r="H342" s="144"/>
      <c r="I342" s="130" t="e">
        <f>VLOOKUP(H342,Presupuesto!$B$11:$C$565,2,0)</f>
        <v>#N/A</v>
      </c>
      <c r="J342" s="98" t="str">
        <f t="shared" si="25"/>
        <v>Desarrollo del Sistema de Educación Superior</v>
      </c>
      <c r="K342" s="98" t="s">
        <v>410</v>
      </c>
    </row>
    <row r="343" spans="3:11" x14ac:dyDescent="0.25">
      <c r="C343" s="145"/>
      <c r="D343" s="151"/>
      <c r="E343" s="118"/>
      <c r="F343" s="97">
        <f t="shared" si="23"/>
        <v>0</v>
      </c>
      <c r="G343" s="161"/>
      <c r="H343" s="146"/>
      <c r="I343" s="130" t="e">
        <f>VLOOKUP(H343,Presupuesto!$B$11:$C$565,2,0)</f>
        <v>#N/A</v>
      </c>
      <c r="J343" s="98" t="str">
        <f t="shared" si="25"/>
        <v>Desarrollo del Sistema de Educación Superior</v>
      </c>
      <c r="K343" s="98" t="s">
        <v>401</v>
      </c>
    </row>
    <row r="344" spans="3:11" x14ac:dyDescent="0.25">
      <c r="C344" s="145"/>
      <c r="D344" s="151"/>
      <c r="E344" s="118"/>
      <c r="F344" s="97">
        <f t="shared" si="23"/>
        <v>0</v>
      </c>
      <c r="G344" s="161"/>
      <c r="H344" s="146"/>
      <c r="I344" s="130" t="e">
        <f>VLOOKUP(H344,Presupuesto!$B$11:$C$565,2,0)</f>
        <v>#N/A</v>
      </c>
      <c r="J344" s="98" t="str">
        <f t="shared" si="25"/>
        <v>Desarrollo del Sistema de Educación Superior</v>
      </c>
      <c r="K344" s="98" t="s">
        <v>410</v>
      </c>
    </row>
    <row r="345" spans="3:11" x14ac:dyDescent="0.25">
      <c r="C345" s="145"/>
      <c r="D345" s="151"/>
      <c r="E345" s="118"/>
      <c r="F345" s="97">
        <f t="shared" si="23"/>
        <v>0</v>
      </c>
      <c r="G345" s="161"/>
      <c r="H345" s="146"/>
      <c r="I345" s="130" t="e">
        <f>VLOOKUP(H345,Presupuesto!$B$11:$C$565,2,0)</f>
        <v>#N/A</v>
      </c>
      <c r="J345" s="98" t="str">
        <f t="shared" si="25"/>
        <v>Desarrollo del Sistema de Educación Superior</v>
      </c>
      <c r="K345" s="98" t="s">
        <v>410</v>
      </c>
    </row>
    <row r="346" spans="3:11" x14ac:dyDescent="0.25">
      <c r="C346" s="145"/>
      <c r="D346" s="151"/>
      <c r="E346" s="118"/>
      <c r="F346" s="97">
        <f t="shared" si="23"/>
        <v>0</v>
      </c>
      <c r="G346" s="161"/>
      <c r="H346" s="146"/>
      <c r="I346" s="130" t="e">
        <f>VLOOKUP(H346,Presupuesto!$B$11:$C$565,2,0)</f>
        <v>#N/A</v>
      </c>
      <c r="J346" s="98" t="str">
        <f t="shared" si="25"/>
        <v>Desarrollo del Sistema de Educación Superior</v>
      </c>
      <c r="K346" s="98" t="s">
        <v>410</v>
      </c>
    </row>
    <row r="347" spans="3:11" ht="15.75" thickBot="1" x14ac:dyDescent="0.3">
      <c r="C347" s="147"/>
      <c r="D347" s="159"/>
      <c r="E347" s="103"/>
      <c r="F347" s="105">
        <f t="shared" si="23"/>
        <v>0</v>
      </c>
      <c r="G347" s="162"/>
      <c r="H347" s="148"/>
      <c r="I347" s="132" t="e">
        <f>VLOOKUP(H347,Presupuesto!$B$11:$C$565,2,0)</f>
        <v>#N/A</v>
      </c>
      <c r="J347" s="106" t="str">
        <f t="shared" si="25"/>
        <v>Desarrollo del Sistema de Educación Superior</v>
      </c>
      <c r="K347" s="124" t="s">
        <v>392</v>
      </c>
    </row>
    <row r="349" spans="3:11" ht="15.75" thickBot="1" x14ac:dyDescent="0.3">
      <c r="F349" s="90"/>
      <c r="G349" s="89"/>
      <c r="H349" s="90"/>
      <c r="I349" s="90"/>
    </row>
    <row r="350" spans="3:11" ht="15.75" thickBot="1" x14ac:dyDescent="0.3">
      <c r="C350" s="157" t="s">
        <v>53</v>
      </c>
      <c r="D350" s="372">
        <f>SUM(F357:F391)</f>
        <v>23500</v>
      </c>
      <c r="F350" s="70"/>
      <c r="G350" s="79"/>
      <c r="H350" s="70"/>
      <c r="I350" s="70"/>
    </row>
    <row r="351" spans="3:11" x14ac:dyDescent="0.25">
      <c r="C351" s="70"/>
      <c r="D351" s="31"/>
      <c r="E351" s="93"/>
      <c r="F351" s="93"/>
      <c r="G351" s="93"/>
      <c r="H351" s="76"/>
      <c r="I351" s="76"/>
      <c r="J351" s="76"/>
      <c r="K351" s="112"/>
    </row>
    <row r="352" spans="3:11" x14ac:dyDescent="0.25">
      <c r="C352" s="70"/>
      <c r="D352" s="31"/>
      <c r="E352" s="93"/>
      <c r="F352" s="93"/>
      <c r="G352" s="93"/>
      <c r="H352" s="76"/>
      <c r="I352" s="76"/>
      <c r="J352" s="76"/>
      <c r="K352" s="112"/>
    </row>
    <row r="353" spans="3:11" ht="15.75" x14ac:dyDescent="0.25">
      <c r="C353" s="202" t="s">
        <v>390</v>
      </c>
      <c r="D353" s="368" t="str">
        <f>'15. Gobernabilidad y Proceso...'!G18</f>
        <v>1.2.2</v>
      </c>
      <c r="E353" s="93"/>
      <c r="F353" s="93"/>
      <c r="G353" s="93"/>
      <c r="H353" s="76"/>
      <c r="I353" s="76"/>
      <c r="J353" s="76"/>
      <c r="K353" s="112"/>
    </row>
    <row r="354" spans="3:11" ht="18.75" x14ac:dyDescent="0.25">
      <c r="C354" s="210" t="str">
        <f>IFERROR(VLOOKUP(D353,'1. Desarrollo e Innov. Curricu.'!$F:$G,2,FALSE),IFERROR(VLOOKUP(D353,'2. Investigación Científica'!$F:$G,2,FALSE),IFERROR(VLOOKUP(D353,'3. Vinculación Univ. Sociedad'!$F:$G,2,FALSE),IFERROR(VLOOKUP(D353,'4. Docencia y Profesorado Univ.'!$F:$G,2,FALSE),IFERROR(VLOOKUP(D353,'5. Estudiantes y Graduados'!$F:$G,2,FALSE),IFERROR(VLOOKUP(D353,'11. Gestion Administrativa'!$F:$G,2,FALSE),IFERROR(VLOOKUP(D353,'13. Gestión Académica'!$F:$G,2,FALSE),IFERROR(VLOOKUP(D353,'9. Asegura. de la Calid. y M'!$F:$G,2,FALSE),IFERROR(VLOOKUP(D353,'6. Gestión del Conocimiento'!$F:$G,2,FALSE),IFERROR(VLOOKUP(D353,'15. Gobernabilidad y Proceso...'!$G:$H,2,FALSE),IFERROR(VLOOKUP(D353,'12. Gestión del Talento Humano'!$F:$G,2,FALSE),IFERROR(VLOOKUP(D353,'14. Internacional... de la E.S.'!$F:$G,2,FALSE),IFERROR(VLOOKUP(D353,'10. Posgrado'!$F:$G,2,FALSE),IFERROR(VLOOKUP(D353,'17. Gestión TIC'!$F:$G,2,FALSE),IFERROR(VLOOKUP(D353,'16. Desa. del Sistema Educ.Sup.'!$F:$G,2,FALSE),IFERROR(VLOOKUP(D353,'8. Cultura de Inno. Insti...'!$F:$G,2,FALSE),VLOOKUP(D353,'7. Lo Esencial de la Reforma U.'!$G:$H,2,0)))))))))))))))))</f>
        <v xml:space="preserve">1.2.2 a) Giras de la Oficial contra el Acoso a los distintos Centros por posibles denuncias de acoso sexual 1 visita a CURLA, 1 visita a UNAH-VS y 2 visitas a cualquiera de los demás centros que requieran de la atención de la oficial. </v>
      </c>
      <c r="D354" s="31"/>
      <c r="E354" s="93"/>
      <c r="F354" s="93"/>
      <c r="G354" s="93"/>
      <c r="H354" s="76"/>
      <c r="I354" s="76"/>
      <c r="J354" s="76"/>
      <c r="K354" s="112"/>
    </row>
    <row r="355" spans="3:11" ht="15.75" thickBot="1" x14ac:dyDescent="0.3">
      <c r="F355" s="93"/>
      <c r="G355" s="76"/>
      <c r="H355" s="76"/>
      <c r="I355" s="76"/>
    </row>
    <row r="356" spans="3:11" ht="15.75" thickBot="1" x14ac:dyDescent="0.3">
      <c r="C356" s="129" t="s">
        <v>44</v>
      </c>
      <c r="D356" s="129" t="s">
        <v>55</v>
      </c>
      <c r="E356" s="136" t="s">
        <v>57</v>
      </c>
      <c r="F356" s="135" t="s">
        <v>27</v>
      </c>
      <c r="G356" s="133" t="s">
        <v>129</v>
      </c>
      <c r="H356" s="136" t="s">
        <v>46</v>
      </c>
      <c r="I356" s="133" t="s">
        <v>130</v>
      </c>
      <c r="J356" s="133" t="s">
        <v>408</v>
      </c>
      <c r="K356" s="133" t="s">
        <v>409</v>
      </c>
    </row>
    <row r="357" spans="3:11" x14ac:dyDescent="0.25">
      <c r="C357" s="220" t="s">
        <v>437</v>
      </c>
      <c r="D357" s="221"/>
      <c r="E357" s="219">
        <f>HLOOKUP(C357,$AH$2:$BU$3,2,0)</f>
        <v>620</v>
      </c>
      <c r="F357" s="97">
        <f t="shared" ref="F357:F391" si="26">D357*E357</f>
        <v>0</v>
      </c>
      <c r="G357" s="161"/>
      <c r="H357" s="142"/>
      <c r="I357" s="130" t="e">
        <f>VLOOKUP(H357,Presupuesto!$B$11:$C$565,2,0)</f>
        <v>#N/A</v>
      </c>
      <c r="J357" s="218" t="s">
        <v>1468</v>
      </c>
      <c r="K357" s="98" t="s">
        <v>392</v>
      </c>
    </row>
    <row r="358" spans="3:11" x14ac:dyDescent="0.25">
      <c r="C358" s="141"/>
      <c r="D358" s="158"/>
      <c r="E358" s="123"/>
      <c r="F358" s="97">
        <f t="shared" si="26"/>
        <v>0</v>
      </c>
      <c r="G358" s="161"/>
      <c r="H358" s="142"/>
      <c r="I358" s="130" t="e">
        <f>VLOOKUP(H358,Presupuesto!$B$11:$C$565,2,0)</f>
        <v>#N/A</v>
      </c>
      <c r="J358" s="98" t="str">
        <f>$J$357</f>
        <v>Desarrollo del Sistema de Educación Superior</v>
      </c>
      <c r="K358" s="98" t="s">
        <v>410</v>
      </c>
    </row>
    <row r="359" spans="3:11" x14ac:dyDescent="0.25">
      <c r="C359" s="220" t="s">
        <v>430</v>
      </c>
      <c r="D359" s="221">
        <f>4*2.5</f>
        <v>10</v>
      </c>
      <c r="E359" s="557">
        <f t="shared" ref="E359" si="27">HLOOKUP(C359,$AH$2:$BU$3,2,0)</f>
        <v>1750</v>
      </c>
      <c r="F359" s="97">
        <f t="shared" si="26"/>
        <v>17500</v>
      </c>
      <c r="G359" s="161" t="s">
        <v>127</v>
      </c>
      <c r="H359" s="142" t="s">
        <v>759</v>
      </c>
      <c r="I359" s="130" t="str">
        <f>VLOOKUP(H359,Presupuesto!$B$11:$C$565,2,0)</f>
        <v>VIATICOS NACIONALES</v>
      </c>
      <c r="J359" s="218" t="s">
        <v>1366</v>
      </c>
      <c r="K359" s="98" t="s">
        <v>396</v>
      </c>
    </row>
    <row r="360" spans="3:11" x14ac:dyDescent="0.25">
      <c r="C360" s="141" t="s">
        <v>1687</v>
      </c>
      <c r="D360" s="158">
        <v>4</v>
      </c>
      <c r="E360" s="123">
        <v>1500</v>
      </c>
      <c r="F360" s="97">
        <f t="shared" si="26"/>
        <v>6000</v>
      </c>
      <c r="G360" s="161" t="s">
        <v>127</v>
      </c>
      <c r="H360" s="146" t="s">
        <v>747</v>
      </c>
      <c r="I360" s="130" t="str">
        <f>VLOOKUP(H360,Presupuesto!$B$11:$C$565,2,0)</f>
        <v>PASAJES NACIONALES</v>
      </c>
      <c r="J360" s="218" t="s">
        <v>1366</v>
      </c>
      <c r="K360" s="98" t="s">
        <v>396</v>
      </c>
    </row>
    <row r="361" spans="3:11" x14ac:dyDescent="0.25">
      <c r="C361" s="141"/>
      <c r="D361" s="158"/>
      <c r="E361" s="123"/>
      <c r="F361" s="97">
        <f t="shared" si="26"/>
        <v>0</v>
      </c>
      <c r="G361" s="161"/>
      <c r="H361" s="142"/>
      <c r="I361" s="130" t="e">
        <f>VLOOKUP(H361,Presupuesto!$B$11:$C$565,2,0)</f>
        <v>#N/A</v>
      </c>
      <c r="J361" s="218" t="s">
        <v>1366</v>
      </c>
      <c r="K361" s="98" t="s">
        <v>410</v>
      </c>
    </row>
    <row r="362" spans="3:11" x14ac:dyDescent="0.25">
      <c r="C362" s="141"/>
      <c r="D362" s="158"/>
      <c r="E362" s="123"/>
      <c r="F362" s="97">
        <f t="shared" si="26"/>
        <v>0</v>
      </c>
      <c r="G362" s="161"/>
      <c r="H362" s="142"/>
      <c r="I362" s="130" t="e">
        <f>VLOOKUP(H362,Presupuesto!$B$11:$C$565,2,0)</f>
        <v>#N/A</v>
      </c>
      <c r="J362" s="218" t="s">
        <v>1366</v>
      </c>
      <c r="K362" s="98" t="s">
        <v>399</v>
      </c>
    </row>
    <row r="363" spans="3:11" x14ac:dyDescent="0.25">
      <c r="C363" s="141"/>
      <c r="D363" s="158"/>
      <c r="E363" s="123"/>
      <c r="F363" s="97">
        <f t="shared" si="26"/>
        <v>0</v>
      </c>
      <c r="G363" s="161"/>
      <c r="H363" s="142"/>
      <c r="I363" s="130" t="e">
        <f>VLOOKUP(H363,Presupuesto!$B$11:$C$565,2,0)</f>
        <v>#N/A</v>
      </c>
      <c r="J363" s="218" t="s">
        <v>1366</v>
      </c>
      <c r="K363" s="98" t="s">
        <v>410</v>
      </c>
    </row>
    <row r="364" spans="3:11" x14ac:dyDescent="0.25">
      <c r="C364" s="141"/>
      <c r="D364" s="158"/>
      <c r="E364" s="123"/>
      <c r="F364" s="97">
        <f t="shared" si="26"/>
        <v>0</v>
      </c>
      <c r="G364" s="161"/>
      <c r="H364" s="142"/>
      <c r="I364" s="130" t="e">
        <f>VLOOKUP(H364,Presupuesto!$B$11:$C$565,2,0)</f>
        <v>#N/A</v>
      </c>
      <c r="J364" s="218" t="s">
        <v>1366</v>
      </c>
      <c r="K364" s="98" t="s">
        <v>410</v>
      </c>
    </row>
    <row r="365" spans="3:11" x14ac:dyDescent="0.25">
      <c r="C365" s="141"/>
      <c r="D365" s="158"/>
      <c r="E365" s="123"/>
      <c r="F365" s="97">
        <f t="shared" si="26"/>
        <v>0</v>
      </c>
      <c r="G365" s="161"/>
      <c r="H365" s="142"/>
      <c r="I365" s="130" t="e">
        <f>VLOOKUP(H365,Presupuesto!$B$11:$C$565,2,0)</f>
        <v>#N/A</v>
      </c>
      <c r="J365" s="218" t="s">
        <v>1366</v>
      </c>
      <c r="K365" s="98" t="s">
        <v>410</v>
      </c>
    </row>
    <row r="366" spans="3:11" x14ac:dyDescent="0.25">
      <c r="C366" s="141"/>
      <c r="D366" s="158"/>
      <c r="E366" s="123"/>
      <c r="F366" s="97">
        <f t="shared" si="26"/>
        <v>0</v>
      </c>
      <c r="G366" s="161"/>
      <c r="H366" s="142"/>
      <c r="I366" s="130" t="e">
        <f>VLOOKUP(H366,Presupuesto!$B$11:$C$565,2,0)</f>
        <v>#N/A</v>
      </c>
      <c r="J366" s="218" t="s">
        <v>1366</v>
      </c>
      <c r="K366" s="98" t="s">
        <v>410</v>
      </c>
    </row>
    <row r="367" spans="3:11" x14ac:dyDescent="0.25">
      <c r="C367" s="141"/>
      <c r="D367" s="158"/>
      <c r="E367" s="123"/>
      <c r="F367" s="97">
        <f t="shared" si="26"/>
        <v>0</v>
      </c>
      <c r="G367" s="161"/>
      <c r="H367" s="142"/>
      <c r="I367" s="130" t="e">
        <f>VLOOKUP(H367,Presupuesto!$B$11:$C$565,2,0)</f>
        <v>#N/A</v>
      </c>
      <c r="J367" s="218" t="s">
        <v>1366</v>
      </c>
      <c r="K367" s="98" t="s">
        <v>410</v>
      </c>
    </row>
    <row r="368" spans="3:11" x14ac:dyDescent="0.25">
      <c r="C368" s="141"/>
      <c r="D368" s="158"/>
      <c r="E368" s="123"/>
      <c r="F368" s="97">
        <f t="shared" si="26"/>
        <v>0</v>
      </c>
      <c r="G368" s="161"/>
      <c r="H368" s="142"/>
      <c r="I368" s="130" t="e">
        <f>VLOOKUP(H368,Presupuesto!$B$11:$C$565,2,0)</f>
        <v>#N/A</v>
      </c>
      <c r="J368" s="218" t="s">
        <v>1366</v>
      </c>
      <c r="K368" s="98" t="s">
        <v>410</v>
      </c>
    </row>
    <row r="369" spans="3:11" x14ac:dyDescent="0.25">
      <c r="C369" s="141"/>
      <c r="D369" s="158"/>
      <c r="E369" s="123"/>
      <c r="F369" s="97">
        <f t="shared" si="26"/>
        <v>0</v>
      </c>
      <c r="G369" s="161"/>
      <c r="H369" s="142"/>
      <c r="I369" s="130" t="e">
        <f>VLOOKUP(H369,Presupuesto!$B$11:$C$565,2,0)</f>
        <v>#N/A</v>
      </c>
      <c r="J369" s="218" t="s">
        <v>1366</v>
      </c>
      <c r="K369" s="98" t="s">
        <v>410</v>
      </c>
    </row>
    <row r="370" spans="3:11" x14ac:dyDescent="0.25">
      <c r="C370" s="141"/>
      <c r="D370" s="158"/>
      <c r="E370" s="123"/>
      <c r="F370" s="97">
        <f t="shared" si="26"/>
        <v>0</v>
      </c>
      <c r="G370" s="161"/>
      <c r="H370" s="142"/>
      <c r="I370" s="130" t="e">
        <f>VLOOKUP(H370,Presupuesto!$B$11:$C$565,2,0)</f>
        <v>#N/A</v>
      </c>
      <c r="J370" s="218" t="s">
        <v>1366</v>
      </c>
      <c r="K370" s="98" t="s">
        <v>410</v>
      </c>
    </row>
    <row r="371" spans="3:11" x14ac:dyDescent="0.25">
      <c r="C371" s="141"/>
      <c r="D371" s="158"/>
      <c r="E371" s="123"/>
      <c r="F371" s="97">
        <f t="shared" si="26"/>
        <v>0</v>
      </c>
      <c r="G371" s="161"/>
      <c r="H371" s="142"/>
      <c r="I371" s="130" t="e">
        <f>VLOOKUP(H371,Presupuesto!$B$11:$C$565,2,0)</f>
        <v>#N/A</v>
      </c>
      <c r="J371" s="218" t="s">
        <v>1366</v>
      </c>
      <c r="K371" s="98" t="s">
        <v>410</v>
      </c>
    </row>
    <row r="372" spans="3:11" x14ac:dyDescent="0.25">
      <c r="C372" s="141"/>
      <c r="D372" s="158"/>
      <c r="E372" s="123"/>
      <c r="F372" s="97">
        <f t="shared" si="26"/>
        <v>0</v>
      </c>
      <c r="G372" s="161"/>
      <c r="H372" s="142"/>
      <c r="I372" s="130" t="e">
        <f>VLOOKUP(H372,Presupuesto!$B$11:$C$565,2,0)</f>
        <v>#N/A</v>
      </c>
      <c r="J372" s="218" t="s">
        <v>1366</v>
      </c>
      <c r="K372" s="98" t="s">
        <v>410</v>
      </c>
    </row>
    <row r="373" spans="3:11" x14ac:dyDescent="0.25">
      <c r="C373" s="141"/>
      <c r="D373" s="158"/>
      <c r="E373" s="123"/>
      <c r="F373" s="97">
        <f t="shared" si="26"/>
        <v>0</v>
      </c>
      <c r="G373" s="161"/>
      <c r="H373" s="142"/>
      <c r="I373" s="130" t="e">
        <f>VLOOKUP(H373,Presupuesto!$B$11:$C$565,2,0)</f>
        <v>#N/A</v>
      </c>
      <c r="J373" s="218" t="s">
        <v>1366</v>
      </c>
      <c r="K373" s="98" t="s">
        <v>410</v>
      </c>
    </row>
    <row r="374" spans="3:11" x14ac:dyDescent="0.25">
      <c r="C374" s="141"/>
      <c r="D374" s="158"/>
      <c r="E374" s="123"/>
      <c r="F374" s="97">
        <f t="shared" si="26"/>
        <v>0</v>
      </c>
      <c r="G374" s="161"/>
      <c r="H374" s="142"/>
      <c r="I374" s="130" t="e">
        <f>VLOOKUP(H374,Presupuesto!$B$11:$C$565,2,0)</f>
        <v>#N/A</v>
      </c>
      <c r="J374" s="218" t="s">
        <v>1366</v>
      </c>
      <c r="K374" s="98" t="s">
        <v>410</v>
      </c>
    </row>
    <row r="375" spans="3:11" x14ac:dyDescent="0.25">
      <c r="C375" s="141"/>
      <c r="D375" s="158"/>
      <c r="E375" s="123"/>
      <c r="F375" s="97">
        <f t="shared" si="26"/>
        <v>0</v>
      </c>
      <c r="G375" s="161"/>
      <c r="H375" s="142"/>
      <c r="I375" s="130" t="e">
        <f>VLOOKUP(H375,Presupuesto!$B$11:$C$565,2,0)</f>
        <v>#N/A</v>
      </c>
      <c r="J375" s="218" t="s">
        <v>1366</v>
      </c>
      <c r="K375" s="98" t="s">
        <v>410</v>
      </c>
    </row>
    <row r="376" spans="3:11" x14ac:dyDescent="0.25">
      <c r="C376" s="141"/>
      <c r="D376" s="158"/>
      <c r="E376" s="123"/>
      <c r="F376" s="97">
        <f t="shared" si="26"/>
        <v>0</v>
      </c>
      <c r="G376" s="161"/>
      <c r="H376" s="142"/>
      <c r="I376" s="130" t="e">
        <f>VLOOKUP(H376,Presupuesto!$B$11:$C$565,2,0)</f>
        <v>#N/A</v>
      </c>
      <c r="J376" s="218" t="s">
        <v>1366</v>
      </c>
      <c r="K376" s="98" t="s">
        <v>410</v>
      </c>
    </row>
    <row r="377" spans="3:11" x14ac:dyDescent="0.25">
      <c r="C377" s="141"/>
      <c r="D377" s="158"/>
      <c r="E377" s="123"/>
      <c r="F377" s="97">
        <f t="shared" si="26"/>
        <v>0</v>
      </c>
      <c r="G377" s="161"/>
      <c r="H377" s="142"/>
      <c r="I377" s="130" t="e">
        <f>VLOOKUP(H377,Presupuesto!$B$11:$C$565,2,0)</f>
        <v>#N/A</v>
      </c>
      <c r="J377" s="218" t="s">
        <v>1366</v>
      </c>
      <c r="K377" s="98" t="s">
        <v>410</v>
      </c>
    </row>
    <row r="378" spans="3:11" x14ac:dyDescent="0.25">
      <c r="C378" s="141"/>
      <c r="D378" s="158"/>
      <c r="E378" s="123"/>
      <c r="F378" s="97">
        <f t="shared" si="26"/>
        <v>0</v>
      </c>
      <c r="G378" s="161"/>
      <c r="H378" s="142"/>
      <c r="I378" s="130" t="e">
        <f>VLOOKUP(H378,Presupuesto!$B$11:$C$565,2,0)</f>
        <v>#N/A</v>
      </c>
      <c r="J378" s="218" t="s">
        <v>1366</v>
      </c>
      <c r="K378" s="98" t="s">
        <v>410</v>
      </c>
    </row>
    <row r="379" spans="3:11" x14ac:dyDescent="0.25">
      <c r="C379" s="143"/>
      <c r="D379" s="151"/>
      <c r="E379" s="118"/>
      <c r="F379" s="97">
        <f t="shared" si="26"/>
        <v>0</v>
      </c>
      <c r="G379" s="161"/>
      <c r="H379" s="144"/>
      <c r="I379" s="130" t="e">
        <f>VLOOKUP(H379,Presupuesto!$B$11:$C$565,2,0)</f>
        <v>#N/A</v>
      </c>
      <c r="J379" s="218" t="s">
        <v>1366</v>
      </c>
      <c r="K379" s="98" t="s">
        <v>410</v>
      </c>
    </row>
    <row r="380" spans="3:11" x14ac:dyDescent="0.25">
      <c r="C380" s="143"/>
      <c r="D380" s="151"/>
      <c r="E380" s="118"/>
      <c r="F380" s="97">
        <f t="shared" si="26"/>
        <v>0</v>
      </c>
      <c r="G380" s="161"/>
      <c r="H380" s="144"/>
      <c r="I380" s="130" t="e">
        <f>VLOOKUP(H380,Presupuesto!$B$11:$C$565,2,0)</f>
        <v>#N/A</v>
      </c>
      <c r="J380" s="218" t="s">
        <v>1366</v>
      </c>
      <c r="K380" s="98" t="s">
        <v>410</v>
      </c>
    </row>
    <row r="381" spans="3:11" x14ac:dyDescent="0.25">
      <c r="C381" s="143"/>
      <c r="D381" s="151"/>
      <c r="E381" s="118"/>
      <c r="F381" s="97">
        <f t="shared" si="26"/>
        <v>0</v>
      </c>
      <c r="G381" s="161"/>
      <c r="H381" s="144"/>
      <c r="I381" s="130" t="e">
        <f>VLOOKUP(H381,Presupuesto!$B$11:$C$565,2,0)</f>
        <v>#N/A</v>
      </c>
      <c r="J381" s="218" t="s">
        <v>1366</v>
      </c>
      <c r="K381" s="98" t="s">
        <v>410</v>
      </c>
    </row>
    <row r="382" spans="3:11" x14ac:dyDescent="0.25">
      <c r="C382" s="143"/>
      <c r="D382" s="151"/>
      <c r="E382" s="118"/>
      <c r="F382" s="97">
        <f t="shared" si="26"/>
        <v>0</v>
      </c>
      <c r="G382" s="161"/>
      <c r="H382" s="144"/>
      <c r="I382" s="130" t="e">
        <f>VLOOKUP(H382,Presupuesto!$B$11:$C$565,2,0)</f>
        <v>#N/A</v>
      </c>
      <c r="J382" s="218" t="s">
        <v>1366</v>
      </c>
      <c r="K382" s="98" t="s">
        <v>410</v>
      </c>
    </row>
    <row r="383" spans="3:11" x14ac:dyDescent="0.25">
      <c r="C383" s="143"/>
      <c r="D383" s="151"/>
      <c r="E383" s="118"/>
      <c r="F383" s="97">
        <f t="shared" si="26"/>
        <v>0</v>
      </c>
      <c r="G383" s="161"/>
      <c r="H383" s="144"/>
      <c r="I383" s="130" t="e">
        <f>VLOOKUP(H383,Presupuesto!$B$11:$C$565,2,0)</f>
        <v>#N/A</v>
      </c>
      <c r="J383" s="218" t="s">
        <v>1366</v>
      </c>
      <c r="K383" s="98" t="s">
        <v>410</v>
      </c>
    </row>
    <row r="384" spans="3:11" x14ac:dyDescent="0.25">
      <c r="C384" s="143"/>
      <c r="D384" s="151"/>
      <c r="E384" s="118"/>
      <c r="F384" s="97">
        <f t="shared" si="26"/>
        <v>0</v>
      </c>
      <c r="G384" s="161"/>
      <c r="H384" s="144"/>
      <c r="I384" s="130" t="e">
        <f>VLOOKUP(H384,Presupuesto!$B$11:$C$565,2,0)</f>
        <v>#N/A</v>
      </c>
      <c r="J384" s="218" t="s">
        <v>1366</v>
      </c>
      <c r="K384" s="98" t="s">
        <v>410</v>
      </c>
    </row>
    <row r="385" spans="3:11" x14ac:dyDescent="0.25">
      <c r="C385" s="143"/>
      <c r="D385" s="151"/>
      <c r="E385" s="118"/>
      <c r="F385" s="97">
        <f t="shared" si="26"/>
        <v>0</v>
      </c>
      <c r="G385" s="161"/>
      <c r="H385" s="144"/>
      <c r="I385" s="130" t="e">
        <f>VLOOKUP(H385,Presupuesto!$B$11:$C$565,2,0)</f>
        <v>#N/A</v>
      </c>
      <c r="J385" s="218" t="s">
        <v>1366</v>
      </c>
      <c r="K385" s="98" t="s">
        <v>410</v>
      </c>
    </row>
    <row r="386" spans="3:11" x14ac:dyDescent="0.25">
      <c r="C386" s="143"/>
      <c r="D386" s="151"/>
      <c r="E386" s="118"/>
      <c r="F386" s="97">
        <f t="shared" si="26"/>
        <v>0</v>
      </c>
      <c r="G386" s="161"/>
      <c r="H386" s="144"/>
      <c r="I386" s="130" t="e">
        <f>VLOOKUP(H386,Presupuesto!$B$11:$C$565,2,0)</f>
        <v>#N/A</v>
      </c>
      <c r="J386" s="218" t="s">
        <v>1366</v>
      </c>
      <c r="K386" s="98" t="s">
        <v>410</v>
      </c>
    </row>
    <row r="387" spans="3:11" x14ac:dyDescent="0.25">
      <c r="C387" s="145"/>
      <c r="D387" s="151"/>
      <c r="E387" s="118"/>
      <c r="F387" s="97">
        <f t="shared" si="26"/>
        <v>0</v>
      </c>
      <c r="G387" s="161"/>
      <c r="H387" s="146"/>
      <c r="I387" s="130" t="e">
        <f>VLOOKUP(H387,Presupuesto!$B$11:$C$565,2,0)</f>
        <v>#N/A</v>
      </c>
      <c r="J387" s="218" t="s">
        <v>1366</v>
      </c>
      <c r="K387" s="98" t="s">
        <v>401</v>
      </c>
    </row>
    <row r="388" spans="3:11" x14ac:dyDescent="0.25">
      <c r="C388" s="145"/>
      <c r="D388" s="151"/>
      <c r="E388" s="118"/>
      <c r="F388" s="97">
        <f t="shared" si="26"/>
        <v>0</v>
      </c>
      <c r="G388" s="161"/>
      <c r="H388" s="146"/>
      <c r="I388" s="130" t="e">
        <f>VLOOKUP(H388,Presupuesto!$B$11:$C$565,2,0)</f>
        <v>#N/A</v>
      </c>
      <c r="J388" s="218" t="s">
        <v>1366</v>
      </c>
      <c r="K388" s="98" t="s">
        <v>410</v>
      </c>
    </row>
    <row r="389" spans="3:11" x14ac:dyDescent="0.25">
      <c r="C389" s="145"/>
      <c r="D389" s="151"/>
      <c r="E389" s="118"/>
      <c r="F389" s="97">
        <f t="shared" si="26"/>
        <v>0</v>
      </c>
      <c r="G389" s="161"/>
      <c r="H389" s="146"/>
      <c r="I389" s="130" t="e">
        <f>VLOOKUP(H389,Presupuesto!$B$11:$C$565,2,0)</f>
        <v>#N/A</v>
      </c>
      <c r="J389" s="218" t="s">
        <v>1366</v>
      </c>
      <c r="K389" s="98" t="s">
        <v>410</v>
      </c>
    </row>
    <row r="390" spans="3:11" x14ac:dyDescent="0.25">
      <c r="C390" s="145"/>
      <c r="D390" s="151"/>
      <c r="E390" s="118"/>
      <c r="F390" s="97">
        <f t="shared" si="26"/>
        <v>0</v>
      </c>
      <c r="G390" s="161"/>
      <c r="H390" s="146"/>
      <c r="I390" s="130" t="e">
        <f>VLOOKUP(H390,Presupuesto!$B$11:$C$565,2,0)</f>
        <v>#N/A</v>
      </c>
      <c r="J390" s="218" t="s">
        <v>1366</v>
      </c>
      <c r="K390" s="98" t="s">
        <v>410</v>
      </c>
    </row>
    <row r="391" spans="3:11" ht="15.75" thickBot="1" x14ac:dyDescent="0.3">
      <c r="C391" s="147"/>
      <c r="D391" s="159"/>
      <c r="E391" s="103"/>
      <c r="F391" s="105">
        <f t="shared" si="26"/>
        <v>0</v>
      </c>
      <c r="G391" s="162"/>
      <c r="H391" s="148"/>
      <c r="I391" s="132" t="e">
        <f>VLOOKUP(H391,Presupuesto!$B$11:$C$565,2,0)</f>
        <v>#N/A</v>
      </c>
      <c r="J391" s="106" t="str">
        <f t="shared" ref="J391" si="28">$J$357</f>
        <v>Desarrollo del Sistema de Educación Superior</v>
      </c>
      <c r="K391" s="124" t="s">
        <v>392</v>
      </c>
    </row>
    <row r="393" spans="3:11" ht="15.75" thickBot="1" x14ac:dyDescent="0.3"/>
    <row r="394" spans="3:11" ht="15.75" thickBot="1" x14ac:dyDescent="0.3">
      <c r="C394" s="157" t="s">
        <v>53</v>
      </c>
      <c r="D394" s="372">
        <f>SUM(F401:F435)</f>
        <v>536000</v>
      </c>
      <c r="F394" s="70"/>
      <c r="G394" s="79"/>
      <c r="H394" s="70"/>
      <c r="I394" s="70"/>
    </row>
    <row r="395" spans="3:11" x14ac:dyDescent="0.25">
      <c r="C395" s="70"/>
      <c r="D395" s="31"/>
      <c r="E395" s="93"/>
      <c r="F395" s="93"/>
      <c r="G395" s="93"/>
      <c r="H395" s="76"/>
      <c r="I395" s="76"/>
      <c r="J395" s="76"/>
      <c r="K395" s="112"/>
    </row>
    <row r="396" spans="3:11" x14ac:dyDescent="0.25">
      <c r="C396" s="70"/>
      <c r="D396" s="31"/>
      <c r="E396" s="93"/>
      <c r="F396" s="93"/>
      <c r="G396" s="93"/>
      <c r="H396" s="76"/>
      <c r="I396" s="76"/>
      <c r="J396" s="76"/>
      <c r="K396" s="112"/>
    </row>
    <row r="397" spans="3:11" ht="15.75" x14ac:dyDescent="0.25">
      <c r="C397" s="202" t="s">
        <v>390</v>
      </c>
      <c r="D397" s="368" t="str">
        <f>'15. Gobernabilidad y Proceso...'!G20</f>
        <v>1.2.4</v>
      </c>
      <c r="E397" s="93"/>
      <c r="F397" s="93"/>
      <c r="G397" s="93"/>
      <c r="H397" s="76"/>
      <c r="I397" s="76"/>
      <c r="J397" s="76"/>
      <c r="K397" s="112"/>
    </row>
    <row r="398" spans="3:11" ht="18.75" x14ac:dyDescent="0.25">
      <c r="C398" s="210" t="str">
        <f>IFERROR(VLOOKUP(D397,'1. Desarrollo e Innov. Curricu.'!$F:$G,2,FALSE),IFERROR(VLOOKUP(D397,'2. Investigación Científica'!$F:$G,2,FALSE),IFERROR(VLOOKUP(D397,'3. Vinculación Univ. Sociedad'!$F:$G,2,FALSE),IFERROR(VLOOKUP(D397,'4. Docencia y Profesorado Univ.'!$F:$G,2,FALSE),IFERROR(VLOOKUP(D397,'5. Estudiantes y Graduados'!$F:$G,2,FALSE),IFERROR(VLOOKUP(D397,'11. Gestion Administrativa'!$F:$G,2,FALSE),IFERROR(VLOOKUP(D397,'13. Gestión Académica'!$F:$G,2,FALSE),IFERROR(VLOOKUP(D397,'9. Asegura. de la Calid. y M'!$F:$G,2,FALSE),IFERROR(VLOOKUP(D397,'6. Gestión del Conocimiento'!$F:$G,2,FALSE),IFERROR(VLOOKUP(D397,'15. Gobernabilidad y Proceso...'!$G:$H,2,FALSE),IFERROR(VLOOKUP(D397,'12. Gestión del Talento Humano'!$F:$G,2,FALSE),IFERROR(VLOOKUP(D397,'14. Internacional... de la E.S.'!$F:$G,2,FALSE),IFERROR(VLOOKUP(D397,'10. Posgrado'!$F:$G,2,FALSE),IFERROR(VLOOKUP(D397,'17. Gestión TIC'!$F:$G,2,FALSE),IFERROR(VLOOKUP(D397,'16. Desa. del Sistema Educ.Sup.'!$F:$G,2,FALSE),IFERROR(VLOOKUP(D397,'8. Cultura de Inno. Insti...'!$F:$G,2,FALSE),VLOOKUP(D397,'7. Lo Esencial de la Reforma U.'!$G:$H,2,0)))))))))))))))))</f>
        <v xml:space="preserve">1.2.3 I Encuentro Regional de Titulares de Defensores de Derechos Universitarios, aliados CONADEH, Alto Comisionado, IDH, Coordinación DDHH Naciones Unidas, Secretaría de Justicia y Derechos Humanos. </v>
      </c>
      <c r="D398" s="31"/>
      <c r="E398" s="93"/>
      <c r="F398" s="93"/>
      <c r="G398" s="93"/>
      <c r="H398" s="76"/>
      <c r="I398" s="76"/>
      <c r="J398" s="76"/>
      <c r="K398" s="112"/>
    </row>
    <row r="399" spans="3:11" ht="15.75" thickBot="1" x14ac:dyDescent="0.3">
      <c r="F399" s="93"/>
      <c r="G399" s="76"/>
      <c r="H399" s="76"/>
      <c r="I399" s="76"/>
    </row>
    <row r="400" spans="3:11" ht="15.75" thickBot="1" x14ac:dyDescent="0.3">
      <c r="C400" s="129" t="s">
        <v>44</v>
      </c>
      <c r="D400" s="129" t="s">
        <v>55</v>
      </c>
      <c r="E400" s="136" t="s">
        <v>57</v>
      </c>
      <c r="F400" s="135" t="s">
        <v>27</v>
      </c>
      <c r="G400" s="133" t="s">
        <v>129</v>
      </c>
      <c r="H400" s="136" t="s">
        <v>46</v>
      </c>
      <c r="I400" s="133" t="s">
        <v>130</v>
      </c>
      <c r="J400" s="133" t="s">
        <v>408</v>
      </c>
      <c r="K400" s="133" t="s">
        <v>409</v>
      </c>
    </row>
    <row r="401" spans="3:11" x14ac:dyDescent="0.25">
      <c r="C401" s="220" t="s">
        <v>437</v>
      </c>
      <c r="D401" s="221"/>
      <c r="E401" s="219">
        <f>HLOOKUP(C401,$AH$2:$BU$3,2,0)</f>
        <v>620</v>
      </c>
      <c r="F401" s="97">
        <f t="shared" ref="F401:F435" si="29">D401*E401</f>
        <v>0</v>
      </c>
      <c r="G401" s="161"/>
      <c r="H401" s="142"/>
      <c r="I401" s="130" t="e">
        <f>VLOOKUP(H401,Presupuesto!$B$11:$C$565,2,0)</f>
        <v>#N/A</v>
      </c>
      <c r="J401" s="218" t="s">
        <v>1366</v>
      </c>
      <c r="K401" s="98" t="s">
        <v>392</v>
      </c>
    </row>
    <row r="402" spans="3:11" x14ac:dyDescent="0.25">
      <c r="C402" s="141"/>
      <c r="D402" s="158"/>
      <c r="E402" s="123"/>
      <c r="F402" s="97">
        <f t="shared" si="29"/>
        <v>0</v>
      </c>
      <c r="G402" s="161"/>
      <c r="H402" s="142"/>
      <c r="I402" s="130" t="e">
        <f>VLOOKUP(H402,Presupuesto!$B$11:$C$565,2,0)</f>
        <v>#N/A</v>
      </c>
      <c r="J402" s="218" t="s">
        <v>1366</v>
      </c>
      <c r="K402" s="98" t="s">
        <v>410</v>
      </c>
    </row>
    <row r="403" spans="3:11" x14ac:dyDescent="0.25">
      <c r="C403" s="141" t="s">
        <v>1886</v>
      </c>
      <c r="D403" s="158">
        <v>7</v>
      </c>
      <c r="E403" s="123">
        <v>50000</v>
      </c>
      <c r="F403" s="97">
        <f t="shared" si="29"/>
        <v>350000</v>
      </c>
      <c r="G403" s="161" t="s">
        <v>1675</v>
      </c>
      <c r="H403" s="142" t="s">
        <v>741</v>
      </c>
      <c r="I403" s="130" t="str">
        <f>VLOOKUP(H403,Presupuesto!$B$11:$C$565,2,0)</f>
        <v>OTROS SERVICIOS COMERCIALES Y FINANCIEROS</v>
      </c>
      <c r="J403" s="218" t="s">
        <v>1366</v>
      </c>
      <c r="K403" s="98" t="s">
        <v>398</v>
      </c>
    </row>
    <row r="404" spans="3:11" x14ac:dyDescent="0.25">
      <c r="C404" s="141" t="s">
        <v>1887</v>
      </c>
      <c r="D404" s="158">
        <v>7</v>
      </c>
      <c r="E404" s="123">
        <v>20000</v>
      </c>
      <c r="F404" s="97">
        <f t="shared" si="29"/>
        <v>140000</v>
      </c>
      <c r="G404" s="161" t="s">
        <v>1675</v>
      </c>
      <c r="H404" s="142" t="s">
        <v>753</v>
      </c>
      <c r="I404" s="130" t="str">
        <f>VLOOKUP(H404,Presupuesto!$B$11:$C$565,2,0)</f>
        <v>PASAJES AL EXTERIOR</v>
      </c>
      <c r="J404" s="218" t="s">
        <v>1366</v>
      </c>
      <c r="K404" s="98" t="s">
        <v>398</v>
      </c>
    </row>
    <row r="405" spans="3:11" x14ac:dyDescent="0.25">
      <c r="C405" s="141" t="s">
        <v>1888</v>
      </c>
      <c r="D405" s="158">
        <v>7</v>
      </c>
      <c r="E405" s="123">
        <v>3000</v>
      </c>
      <c r="F405" s="97">
        <f t="shared" si="29"/>
        <v>21000</v>
      </c>
      <c r="G405" s="161" t="s">
        <v>1675</v>
      </c>
      <c r="H405" s="142" t="s">
        <v>741</v>
      </c>
      <c r="I405" s="130" t="str">
        <f>VLOOKUP(H405,Presupuesto!$B$11:$C$565,2,0)</f>
        <v>OTROS SERVICIOS COMERCIALES Y FINANCIEROS</v>
      </c>
      <c r="J405" s="218" t="s">
        <v>1366</v>
      </c>
      <c r="K405" s="98" t="s">
        <v>398</v>
      </c>
    </row>
    <row r="406" spans="3:11" x14ac:dyDescent="0.25">
      <c r="C406" s="141" t="s">
        <v>1760</v>
      </c>
      <c r="D406" s="158">
        <v>1</v>
      </c>
      <c r="E406" s="123">
        <v>25000</v>
      </c>
      <c r="F406" s="97">
        <f t="shared" si="29"/>
        <v>25000</v>
      </c>
      <c r="G406" s="161" t="s">
        <v>1675</v>
      </c>
      <c r="H406" s="142" t="s">
        <v>790</v>
      </c>
      <c r="I406" s="130" t="str">
        <f>VLOOKUP(H406,Presupuesto!$B$11:$C$565,2,0)</f>
        <v>ALIMENTOS B EBIDAS PARA PERSONAS</v>
      </c>
      <c r="J406" s="218" t="s">
        <v>1366</v>
      </c>
      <c r="K406" s="98" t="s">
        <v>398</v>
      </c>
    </row>
    <row r="407" spans="3:11" x14ac:dyDescent="0.25">
      <c r="C407" s="141"/>
      <c r="D407" s="158"/>
      <c r="E407" s="123"/>
      <c r="F407" s="97">
        <f t="shared" si="29"/>
        <v>0</v>
      </c>
      <c r="G407" s="161"/>
      <c r="H407" s="142"/>
      <c r="I407" s="130" t="e">
        <f>VLOOKUP(H407,Presupuesto!$B$11:$C$565,2,0)</f>
        <v>#N/A</v>
      </c>
      <c r="J407" s="218" t="s">
        <v>1366</v>
      </c>
      <c r="K407" s="98" t="s">
        <v>410</v>
      </c>
    </row>
    <row r="408" spans="3:11" x14ac:dyDescent="0.25">
      <c r="C408" s="141"/>
      <c r="D408" s="158"/>
      <c r="E408" s="123"/>
      <c r="F408" s="97">
        <f t="shared" si="29"/>
        <v>0</v>
      </c>
      <c r="G408" s="161"/>
      <c r="H408" s="142"/>
      <c r="I408" s="130" t="e">
        <f>VLOOKUP(H408,Presupuesto!$B$11:$C$565,2,0)</f>
        <v>#N/A</v>
      </c>
      <c r="J408" s="218" t="s">
        <v>1366</v>
      </c>
      <c r="K408" s="98" t="s">
        <v>410</v>
      </c>
    </row>
    <row r="409" spans="3:11" x14ac:dyDescent="0.25">
      <c r="C409" s="141"/>
      <c r="D409" s="158"/>
      <c r="E409" s="123"/>
      <c r="F409" s="97">
        <f t="shared" si="29"/>
        <v>0</v>
      </c>
      <c r="G409" s="161"/>
      <c r="H409" s="142"/>
      <c r="I409" s="130" t="e">
        <f>VLOOKUP(H409,Presupuesto!$B$11:$C$565,2,0)</f>
        <v>#N/A</v>
      </c>
      <c r="J409" s="218" t="s">
        <v>1366</v>
      </c>
      <c r="K409" s="98" t="s">
        <v>410</v>
      </c>
    </row>
    <row r="410" spans="3:11" x14ac:dyDescent="0.25">
      <c r="C410" s="141"/>
      <c r="D410" s="158"/>
      <c r="E410" s="123"/>
      <c r="F410" s="97">
        <f t="shared" si="29"/>
        <v>0</v>
      </c>
      <c r="G410" s="161"/>
      <c r="H410" s="142"/>
      <c r="I410" s="130" t="e">
        <f>VLOOKUP(H410,Presupuesto!$B$11:$C$565,2,0)</f>
        <v>#N/A</v>
      </c>
      <c r="J410" s="218" t="s">
        <v>1366</v>
      </c>
      <c r="K410" s="98" t="s">
        <v>410</v>
      </c>
    </row>
    <row r="411" spans="3:11" x14ac:dyDescent="0.25">
      <c r="C411" s="141"/>
      <c r="D411" s="158"/>
      <c r="E411" s="123"/>
      <c r="F411" s="97">
        <f t="shared" si="29"/>
        <v>0</v>
      </c>
      <c r="G411" s="161"/>
      <c r="H411" s="142"/>
      <c r="I411" s="130" t="e">
        <f>VLOOKUP(H411,Presupuesto!$B$11:$C$565,2,0)</f>
        <v>#N/A</v>
      </c>
      <c r="J411" s="218" t="s">
        <v>1366</v>
      </c>
      <c r="K411" s="98" t="s">
        <v>410</v>
      </c>
    </row>
    <row r="412" spans="3:11" x14ac:dyDescent="0.25">
      <c r="C412" s="141"/>
      <c r="D412" s="158"/>
      <c r="E412" s="123"/>
      <c r="F412" s="97">
        <f t="shared" si="29"/>
        <v>0</v>
      </c>
      <c r="G412" s="161"/>
      <c r="H412" s="142"/>
      <c r="I412" s="130" t="e">
        <f>VLOOKUP(H412,Presupuesto!$B$11:$C$565,2,0)</f>
        <v>#N/A</v>
      </c>
      <c r="J412" s="218" t="s">
        <v>1366</v>
      </c>
      <c r="K412" s="98" t="s">
        <v>410</v>
      </c>
    </row>
    <row r="413" spans="3:11" x14ac:dyDescent="0.25">
      <c r="C413" s="141"/>
      <c r="D413" s="158"/>
      <c r="E413" s="123"/>
      <c r="F413" s="97">
        <f t="shared" si="29"/>
        <v>0</v>
      </c>
      <c r="G413" s="161"/>
      <c r="H413" s="142"/>
      <c r="I413" s="130" t="e">
        <f>VLOOKUP(H413,Presupuesto!$B$11:$C$565,2,0)</f>
        <v>#N/A</v>
      </c>
      <c r="J413" s="218" t="s">
        <v>1366</v>
      </c>
      <c r="K413" s="98" t="s">
        <v>410</v>
      </c>
    </row>
    <row r="414" spans="3:11" x14ac:dyDescent="0.25">
      <c r="C414" s="141"/>
      <c r="D414" s="158"/>
      <c r="E414" s="123"/>
      <c r="F414" s="97">
        <f t="shared" si="29"/>
        <v>0</v>
      </c>
      <c r="G414" s="161"/>
      <c r="H414" s="142"/>
      <c r="I414" s="130" t="e">
        <f>VLOOKUP(H414,Presupuesto!$B$11:$C$565,2,0)</f>
        <v>#N/A</v>
      </c>
      <c r="J414" s="218" t="s">
        <v>1366</v>
      </c>
      <c r="K414" s="98" t="s">
        <v>410</v>
      </c>
    </row>
    <row r="415" spans="3:11" x14ac:dyDescent="0.25">
      <c r="C415" s="141"/>
      <c r="D415" s="158"/>
      <c r="E415" s="123"/>
      <c r="F415" s="97">
        <f t="shared" si="29"/>
        <v>0</v>
      </c>
      <c r="G415" s="161"/>
      <c r="H415" s="142"/>
      <c r="I415" s="130" t="e">
        <f>VLOOKUP(H415,Presupuesto!$B$11:$C$565,2,0)</f>
        <v>#N/A</v>
      </c>
      <c r="J415" s="218" t="s">
        <v>1366</v>
      </c>
      <c r="K415" s="98" t="s">
        <v>410</v>
      </c>
    </row>
    <row r="416" spans="3:11" x14ac:dyDescent="0.25">
      <c r="C416" s="141"/>
      <c r="D416" s="158"/>
      <c r="E416" s="123"/>
      <c r="F416" s="97">
        <f t="shared" si="29"/>
        <v>0</v>
      </c>
      <c r="G416" s="161"/>
      <c r="H416" s="142"/>
      <c r="I416" s="130" t="e">
        <f>VLOOKUP(H416,Presupuesto!$B$11:$C$565,2,0)</f>
        <v>#N/A</v>
      </c>
      <c r="J416" s="218" t="s">
        <v>1366</v>
      </c>
      <c r="K416" s="98" t="s">
        <v>410</v>
      </c>
    </row>
    <row r="417" spans="3:11" x14ac:dyDescent="0.25">
      <c r="C417" s="141"/>
      <c r="D417" s="158"/>
      <c r="E417" s="123"/>
      <c r="F417" s="97">
        <f t="shared" si="29"/>
        <v>0</v>
      </c>
      <c r="G417" s="161"/>
      <c r="H417" s="142"/>
      <c r="I417" s="130" t="e">
        <f>VLOOKUP(H417,Presupuesto!$B$11:$C$565,2,0)</f>
        <v>#N/A</v>
      </c>
      <c r="J417" s="218" t="s">
        <v>1366</v>
      </c>
      <c r="K417" s="98" t="s">
        <v>410</v>
      </c>
    </row>
    <row r="418" spans="3:11" x14ac:dyDescent="0.25">
      <c r="C418" s="141"/>
      <c r="D418" s="158"/>
      <c r="E418" s="123"/>
      <c r="F418" s="97">
        <f t="shared" si="29"/>
        <v>0</v>
      </c>
      <c r="G418" s="161"/>
      <c r="H418" s="142"/>
      <c r="I418" s="130" t="e">
        <f>VLOOKUP(H418,Presupuesto!$B$11:$C$565,2,0)</f>
        <v>#N/A</v>
      </c>
      <c r="J418" s="218" t="s">
        <v>1366</v>
      </c>
      <c r="K418" s="98" t="s">
        <v>410</v>
      </c>
    </row>
    <row r="419" spans="3:11" x14ac:dyDescent="0.25">
      <c r="C419" s="141"/>
      <c r="D419" s="158"/>
      <c r="E419" s="123"/>
      <c r="F419" s="97">
        <f t="shared" si="29"/>
        <v>0</v>
      </c>
      <c r="G419" s="161"/>
      <c r="H419" s="142"/>
      <c r="I419" s="130" t="e">
        <f>VLOOKUP(H419,Presupuesto!$B$11:$C$565,2,0)</f>
        <v>#N/A</v>
      </c>
      <c r="J419" s="218" t="s">
        <v>1366</v>
      </c>
      <c r="K419" s="98" t="s">
        <v>410</v>
      </c>
    </row>
    <row r="420" spans="3:11" x14ac:dyDescent="0.25">
      <c r="C420" s="141"/>
      <c r="D420" s="158"/>
      <c r="E420" s="123"/>
      <c r="F420" s="97">
        <f t="shared" si="29"/>
        <v>0</v>
      </c>
      <c r="G420" s="161"/>
      <c r="H420" s="142"/>
      <c r="I420" s="130" t="e">
        <f>VLOOKUP(H420,Presupuesto!$B$11:$C$565,2,0)</f>
        <v>#N/A</v>
      </c>
      <c r="J420" s="218" t="s">
        <v>1366</v>
      </c>
      <c r="K420" s="98" t="s">
        <v>410</v>
      </c>
    </row>
    <row r="421" spans="3:11" x14ac:dyDescent="0.25">
      <c r="C421" s="141"/>
      <c r="D421" s="158"/>
      <c r="E421" s="123"/>
      <c r="F421" s="97">
        <f t="shared" si="29"/>
        <v>0</v>
      </c>
      <c r="G421" s="161"/>
      <c r="H421" s="142"/>
      <c r="I421" s="130" t="e">
        <f>VLOOKUP(H421,Presupuesto!$B$11:$C$565,2,0)</f>
        <v>#N/A</v>
      </c>
      <c r="J421" s="218" t="s">
        <v>1366</v>
      </c>
      <c r="K421" s="98" t="s">
        <v>410</v>
      </c>
    </row>
    <row r="422" spans="3:11" x14ac:dyDescent="0.25">
      <c r="C422" s="141"/>
      <c r="D422" s="158"/>
      <c r="E422" s="123"/>
      <c r="F422" s="97">
        <f t="shared" si="29"/>
        <v>0</v>
      </c>
      <c r="G422" s="161"/>
      <c r="H422" s="142"/>
      <c r="I422" s="130" t="e">
        <f>VLOOKUP(H422,Presupuesto!$B$11:$C$565,2,0)</f>
        <v>#N/A</v>
      </c>
      <c r="J422" s="218" t="s">
        <v>1366</v>
      </c>
      <c r="K422" s="98" t="s">
        <v>410</v>
      </c>
    </row>
    <row r="423" spans="3:11" x14ac:dyDescent="0.25">
      <c r="C423" s="143"/>
      <c r="D423" s="151"/>
      <c r="E423" s="118"/>
      <c r="F423" s="97">
        <f t="shared" si="29"/>
        <v>0</v>
      </c>
      <c r="G423" s="161"/>
      <c r="H423" s="144"/>
      <c r="I423" s="130" t="e">
        <f>VLOOKUP(H423,Presupuesto!$B$11:$C$565,2,0)</f>
        <v>#N/A</v>
      </c>
      <c r="J423" s="218" t="s">
        <v>1366</v>
      </c>
      <c r="K423" s="98" t="s">
        <v>410</v>
      </c>
    </row>
    <row r="424" spans="3:11" x14ac:dyDescent="0.25">
      <c r="C424" s="143"/>
      <c r="D424" s="151"/>
      <c r="E424" s="118"/>
      <c r="F424" s="97">
        <f t="shared" si="29"/>
        <v>0</v>
      </c>
      <c r="G424" s="161"/>
      <c r="H424" s="144"/>
      <c r="I424" s="130" t="e">
        <f>VLOOKUP(H424,Presupuesto!$B$11:$C$565,2,0)</f>
        <v>#N/A</v>
      </c>
      <c r="J424" s="218" t="s">
        <v>1366</v>
      </c>
      <c r="K424" s="98" t="s">
        <v>410</v>
      </c>
    </row>
    <row r="425" spans="3:11" x14ac:dyDescent="0.25">
      <c r="C425" s="143"/>
      <c r="D425" s="151"/>
      <c r="E425" s="118"/>
      <c r="F425" s="97">
        <f t="shared" si="29"/>
        <v>0</v>
      </c>
      <c r="G425" s="161"/>
      <c r="H425" s="144"/>
      <c r="I425" s="130" t="e">
        <f>VLOOKUP(H425,Presupuesto!$B$11:$C$565,2,0)</f>
        <v>#N/A</v>
      </c>
      <c r="J425" s="218" t="s">
        <v>1366</v>
      </c>
      <c r="K425" s="98" t="s">
        <v>410</v>
      </c>
    </row>
    <row r="426" spans="3:11" x14ac:dyDescent="0.25">
      <c r="C426" s="143"/>
      <c r="D426" s="151"/>
      <c r="E426" s="118"/>
      <c r="F426" s="97">
        <f t="shared" si="29"/>
        <v>0</v>
      </c>
      <c r="G426" s="161"/>
      <c r="H426" s="144"/>
      <c r="I426" s="130" t="e">
        <f>VLOOKUP(H426,Presupuesto!$B$11:$C$565,2,0)</f>
        <v>#N/A</v>
      </c>
      <c r="J426" s="218" t="s">
        <v>1366</v>
      </c>
      <c r="K426" s="98" t="s">
        <v>410</v>
      </c>
    </row>
    <row r="427" spans="3:11" x14ac:dyDescent="0.25">
      <c r="C427" s="143"/>
      <c r="D427" s="151"/>
      <c r="E427" s="118"/>
      <c r="F427" s="97">
        <f t="shared" si="29"/>
        <v>0</v>
      </c>
      <c r="G427" s="161"/>
      <c r="H427" s="144"/>
      <c r="I427" s="130" t="e">
        <f>VLOOKUP(H427,Presupuesto!$B$11:$C$565,2,0)</f>
        <v>#N/A</v>
      </c>
      <c r="J427" s="218" t="s">
        <v>1366</v>
      </c>
      <c r="K427" s="98" t="s">
        <v>410</v>
      </c>
    </row>
    <row r="428" spans="3:11" x14ac:dyDescent="0.25">
      <c r="C428" s="143"/>
      <c r="D428" s="151"/>
      <c r="E428" s="118"/>
      <c r="F428" s="97">
        <f t="shared" si="29"/>
        <v>0</v>
      </c>
      <c r="G428" s="161"/>
      <c r="H428" s="144"/>
      <c r="I428" s="130" t="e">
        <f>VLOOKUP(H428,Presupuesto!$B$11:$C$565,2,0)</f>
        <v>#N/A</v>
      </c>
      <c r="J428" s="218" t="s">
        <v>1366</v>
      </c>
      <c r="K428" s="98" t="s">
        <v>410</v>
      </c>
    </row>
    <row r="429" spans="3:11" x14ac:dyDescent="0.25">
      <c r="C429" s="143"/>
      <c r="D429" s="151"/>
      <c r="E429" s="118"/>
      <c r="F429" s="97">
        <f t="shared" si="29"/>
        <v>0</v>
      </c>
      <c r="G429" s="161"/>
      <c r="H429" s="144"/>
      <c r="I429" s="130" t="e">
        <f>VLOOKUP(H429,Presupuesto!$B$11:$C$565,2,0)</f>
        <v>#N/A</v>
      </c>
      <c r="J429" s="218" t="s">
        <v>1366</v>
      </c>
      <c r="K429" s="98" t="s">
        <v>410</v>
      </c>
    </row>
    <row r="430" spans="3:11" x14ac:dyDescent="0.25">
      <c r="C430" s="143"/>
      <c r="D430" s="151"/>
      <c r="E430" s="118"/>
      <c r="F430" s="97">
        <f t="shared" si="29"/>
        <v>0</v>
      </c>
      <c r="G430" s="161"/>
      <c r="H430" s="144"/>
      <c r="I430" s="130" t="e">
        <f>VLOOKUP(H430,Presupuesto!$B$11:$C$565,2,0)</f>
        <v>#N/A</v>
      </c>
      <c r="J430" s="218" t="s">
        <v>1366</v>
      </c>
      <c r="K430" s="98" t="s">
        <v>410</v>
      </c>
    </row>
    <row r="431" spans="3:11" x14ac:dyDescent="0.25">
      <c r="C431" s="145"/>
      <c r="D431" s="151"/>
      <c r="E431" s="118"/>
      <c r="F431" s="97">
        <f t="shared" si="29"/>
        <v>0</v>
      </c>
      <c r="G431" s="161"/>
      <c r="H431" s="146"/>
      <c r="I431" s="130" t="e">
        <f>VLOOKUP(H431,Presupuesto!$B$11:$C$565,2,0)</f>
        <v>#N/A</v>
      </c>
      <c r="J431" s="218" t="s">
        <v>1366</v>
      </c>
      <c r="K431" s="98" t="s">
        <v>401</v>
      </c>
    </row>
    <row r="432" spans="3:11" x14ac:dyDescent="0.25">
      <c r="C432" s="145"/>
      <c r="D432" s="151"/>
      <c r="E432" s="118"/>
      <c r="F432" s="97">
        <f t="shared" si="29"/>
        <v>0</v>
      </c>
      <c r="G432" s="161"/>
      <c r="H432" s="146"/>
      <c r="I432" s="130" t="e">
        <f>VLOOKUP(H432,Presupuesto!$B$11:$C$565,2,0)</f>
        <v>#N/A</v>
      </c>
      <c r="J432" s="218" t="s">
        <v>1366</v>
      </c>
      <c r="K432" s="98" t="s">
        <v>410</v>
      </c>
    </row>
    <row r="433" spans="3:11" x14ac:dyDescent="0.25">
      <c r="C433" s="145"/>
      <c r="D433" s="151"/>
      <c r="E433" s="118"/>
      <c r="F433" s="97">
        <f t="shared" si="29"/>
        <v>0</v>
      </c>
      <c r="G433" s="161"/>
      <c r="H433" s="146"/>
      <c r="I433" s="130" t="e">
        <f>VLOOKUP(H433,Presupuesto!$B$11:$C$565,2,0)</f>
        <v>#N/A</v>
      </c>
      <c r="J433" s="218" t="s">
        <v>1366</v>
      </c>
      <c r="K433" s="98" t="s">
        <v>410</v>
      </c>
    </row>
    <row r="434" spans="3:11" x14ac:dyDescent="0.25">
      <c r="C434" s="145"/>
      <c r="D434" s="151"/>
      <c r="E434" s="118"/>
      <c r="F434" s="97">
        <f t="shared" si="29"/>
        <v>0</v>
      </c>
      <c r="G434" s="161"/>
      <c r="H434" s="146"/>
      <c r="I434" s="130" t="e">
        <f>VLOOKUP(H434,Presupuesto!$B$11:$C$565,2,0)</f>
        <v>#N/A</v>
      </c>
      <c r="J434" s="218" t="s">
        <v>1366</v>
      </c>
      <c r="K434" s="98" t="s">
        <v>410</v>
      </c>
    </row>
    <row r="435" spans="3:11" ht="15.75" thickBot="1" x14ac:dyDescent="0.3">
      <c r="C435" s="147"/>
      <c r="D435" s="159"/>
      <c r="E435" s="103"/>
      <c r="F435" s="105">
        <f t="shared" si="29"/>
        <v>0</v>
      </c>
      <c r="G435" s="162"/>
      <c r="H435" s="148"/>
      <c r="I435" s="132" t="e">
        <f>VLOOKUP(H435,Presupuesto!$B$11:$C$565,2,0)</f>
        <v>#N/A</v>
      </c>
      <c r="J435" s="218" t="s">
        <v>1366</v>
      </c>
      <c r="K435" s="124" t="s">
        <v>392</v>
      </c>
    </row>
    <row r="437" spans="3:11" ht="15.75" thickBot="1" x14ac:dyDescent="0.3">
      <c r="F437" s="90"/>
      <c r="G437" s="89"/>
      <c r="H437" s="90"/>
      <c r="I437" s="90"/>
    </row>
    <row r="438" spans="3:11" ht="15.75" thickBot="1" x14ac:dyDescent="0.3">
      <c r="C438" s="157" t="s">
        <v>53</v>
      </c>
      <c r="D438" s="372">
        <f>SUM(F445:F479)</f>
        <v>16450</v>
      </c>
      <c r="F438" s="70"/>
      <c r="G438" s="79"/>
      <c r="H438" s="70"/>
      <c r="I438" s="70"/>
    </row>
    <row r="439" spans="3:11" x14ac:dyDescent="0.25">
      <c r="C439" s="70"/>
      <c r="D439" s="31"/>
      <c r="E439" s="93"/>
      <c r="F439" s="93"/>
      <c r="G439" s="93"/>
      <c r="H439" s="76"/>
      <c r="I439" s="76"/>
      <c r="J439" s="76"/>
      <c r="K439" s="112"/>
    </row>
    <row r="440" spans="3:11" x14ac:dyDescent="0.25">
      <c r="C440" s="70"/>
      <c r="D440" s="31"/>
      <c r="E440" s="93"/>
      <c r="F440" s="93"/>
      <c r="G440" s="93"/>
      <c r="H440" s="76"/>
      <c r="I440" s="76"/>
      <c r="J440" s="76"/>
      <c r="K440" s="112"/>
    </row>
    <row r="441" spans="3:11" ht="15.75" x14ac:dyDescent="0.25">
      <c r="C441" s="202" t="s">
        <v>390</v>
      </c>
      <c r="D441" s="368" t="str">
        <f>'15. Gobernabilidad y Proceso...'!G21</f>
        <v>1.3.1</v>
      </c>
      <c r="E441" s="93"/>
      <c r="F441" s="93"/>
      <c r="G441" s="93"/>
      <c r="H441" s="76"/>
      <c r="I441" s="76"/>
      <c r="J441" s="76"/>
      <c r="K441" s="112"/>
    </row>
    <row r="442" spans="3:11" ht="18.75" x14ac:dyDescent="0.25">
      <c r="C442" s="210" t="str">
        <f>IFERROR(VLOOKUP(D441,'1. Desarrollo e Innov. Curricu.'!$F:$G,2,FALSE),IFERROR(VLOOKUP(D441,'2. Investigación Científica'!$F:$G,2,FALSE),IFERROR(VLOOKUP(D441,'3. Vinculación Univ. Sociedad'!$F:$G,2,FALSE),IFERROR(VLOOKUP(D441,'4. Docencia y Profesorado Univ.'!$F:$G,2,FALSE),IFERROR(VLOOKUP(D441,'5. Estudiantes y Graduados'!$F:$G,2,FALSE),IFERROR(VLOOKUP(D441,'11. Gestion Administrativa'!$F:$G,2,FALSE),IFERROR(VLOOKUP(D441,'13. Gestión Académica'!$F:$G,2,FALSE),IFERROR(VLOOKUP(D441,'9. Asegura. de la Calid. y M'!$F:$G,2,FALSE),IFERROR(VLOOKUP(D441,'6. Gestión del Conocimiento'!$F:$G,2,FALSE),IFERROR(VLOOKUP(D441,'15. Gobernabilidad y Proceso...'!$G:$H,2,FALSE),IFERROR(VLOOKUP(D441,'12. Gestión del Talento Humano'!$F:$G,2,FALSE),IFERROR(VLOOKUP(D441,'14. Internacional... de la E.S.'!$F:$G,2,FALSE),IFERROR(VLOOKUP(D441,'10. Posgrado'!$F:$G,2,FALSE),IFERROR(VLOOKUP(D441,'17. Gestión TIC'!$F:$G,2,FALSE),IFERROR(VLOOKUP(D441,'16. Desa. del Sistema Educ.Sup.'!$F:$G,2,FALSE),IFERROR(VLOOKUP(D441,'8. Cultura de Inno. Insti...'!$F:$G,2,FALSE),VLOOKUP(D441,'7. Lo Esencial de la Reforma U.'!$G:$H,2,0)))))))))))))))))</f>
        <v>1.2.4 d) Giras a las Delegaciones del Comisionado Universitario en CURLA y UNAH-VS.</v>
      </c>
      <c r="D442" s="31"/>
      <c r="E442" s="93"/>
      <c r="F442" s="93"/>
      <c r="G442" s="93"/>
      <c r="H442" s="76"/>
      <c r="I442" s="76"/>
      <c r="J442" s="76"/>
      <c r="K442" s="112"/>
    </row>
    <row r="443" spans="3:11" ht="15.75" thickBot="1" x14ac:dyDescent="0.3">
      <c r="F443" s="93"/>
      <c r="G443" s="76"/>
      <c r="I443" s="76"/>
    </row>
    <row r="444" spans="3:11" ht="15.75" thickBot="1" x14ac:dyDescent="0.3">
      <c r="C444" s="129" t="s">
        <v>44</v>
      </c>
      <c r="D444" s="129" t="s">
        <v>55</v>
      </c>
      <c r="E444" s="136" t="s">
        <v>57</v>
      </c>
      <c r="F444" s="135" t="s">
        <v>27</v>
      </c>
      <c r="G444" s="133" t="s">
        <v>129</v>
      </c>
      <c r="H444" s="136" t="s">
        <v>46</v>
      </c>
      <c r="I444" s="133" t="s">
        <v>130</v>
      </c>
      <c r="J444" s="133" t="s">
        <v>408</v>
      </c>
      <c r="K444" s="133" t="s">
        <v>409</v>
      </c>
    </row>
    <row r="445" spans="3:11" x14ac:dyDescent="0.25">
      <c r="C445" s="220" t="s">
        <v>434</v>
      </c>
      <c r="D445" s="221">
        <v>3.5</v>
      </c>
      <c r="E445" s="219">
        <f>HLOOKUP(C445,$AH$2:$BU$3,2,0)</f>
        <v>1200</v>
      </c>
      <c r="F445" s="97">
        <f t="shared" ref="F445:F479" si="30">D445*E445</f>
        <v>4200</v>
      </c>
      <c r="G445" s="161" t="s">
        <v>127</v>
      </c>
      <c r="H445" s="142" t="s">
        <v>759</v>
      </c>
      <c r="I445" s="130" t="str">
        <f>VLOOKUP(H445,Presupuesto!$B$11:$C$565,2,0)</f>
        <v>VIATICOS NACIONALES</v>
      </c>
      <c r="J445" s="218" t="s">
        <v>1366</v>
      </c>
      <c r="K445" s="98" t="s">
        <v>394</v>
      </c>
    </row>
    <row r="446" spans="3:11" x14ac:dyDescent="0.25">
      <c r="C446" s="220" t="s">
        <v>430</v>
      </c>
      <c r="D446" s="221">
        <f>2*3.5</f>
        <v>7</v>
      </c>
      <c r="E446" s="557">
        <f t="shared" ref="E446" si="31">HLOOKUP(C446,$AH$2:$BU$3,2,0)</f>
        <v>1750</v>
      </c>
      <c r="F446" s="97">
        <f t="shared" si="30"/>
        <v>12250</v>
      </c>
      <c r="G446" s="161" t="s">
        <v>127</v>
      </c>
      <c r="H446" s="142" t="s">
        <v>759</v>
      </c>
      <c r="I446" s="130" t="str">
        <f>VLOOKUP(H446,Presupuesto!$B$11:$C$565,2,0)</f>
        <v>VIATICOS NACIONALES</v>
      </c>
      <c r="J446" s="218" t="s">
        <v>1366</v>
      </c>
      <c r="K446" s="98" t="s">
        <v>394</v>
      </c>
    </row>
    <row r="447" spans="3:11" x14ac:dyDescent="0.25">
      <c r="C447" s="141"/>
      <c r="D447" s="158"/>
      <c r="E447" s="123"/>
      <c r="F447" s="97">
        <f t="shared" si="30"/>
        <v>0</v>
      </c>
      <c r="G447" s="161"/>
      <c r="H447" s="142"/>
      <c r="I447" s="130" t="e">
        <f>VLOOKUP(H447,Presupuesto!$B$11:$C$565,2,0)</f>
        <v>#N/A</v>
      </c>
      <c r="J447" s="98" t="str">
        <f t="shared" ref="J447:J479" si="32">$J$445</f>
        <v>Gobernabilidad y Procesos  de Gestión Descentralizada en Redes</v>
      </c>
      <c r="K447" s="98" t="s">
        <v>410</v>
      </c>
    </row>
    <row r="448" spans="3:11" x14ac:dyDescent="0.25">
      <c r="C448" s="141"/>
      <c r="D448" s="158"/>
      <c r="E448" s="123"/>
      <c r="F448" s="97">
        <f t="shared" si="30"/>
        <v>0</v>
      </c>
      <c r="G448" s="161"/>
      <c r="H448" s="142"/>
      <c r="I448" s="130" t="e">
        <f>VLOOKUP(H448,Presupuesto!$B$11:$C$565,2,0)</f>
        <v>#N/A</v>
      </c>
      <c r="J448" s="98" t="str">
        <f t="shared" si="32"/>
        <v>Gobernabilidad y Procesos  de Gestión Descentralizada en Redes</v>
      </c>
      <c r="K448" s="98" t="s">
        <v>410</v>
      </c>
    </row>
    <row r="449" spans="3:11" x14ac:dyDescent="0.25">
      <c r="C449" s="141"/>
      <c r="D449" s="158"/>
      <c r="E449" s="123"/>
      <c r="F449" s="97">
        <f t="shared" si="30"/>
        <v>0</v>
      </c>
      <c r="G449" s="161"/>
      <c r="H449" s="142"/>
      <c r="I449" s="130" t="e">
        <f>VLOOKUP(H449,Presupuesto!$B$11:$C$565,2,0)</f>
        <v>#N/A</v>
      </c>
      <c r="J449" s="98" t="str">
        <f t="shared" si="32"/>
        <v>Gobernabilidad y Procesos  de Gestión Descentralizada en Redes</v>
      </c>
      <c r="K449" s="98" t="s">
        <v>410</v>
      </c>
    </row>
    <row r="450" spans="3:11" x14ac:dyDescent="0.25">
      <c r="C450" s="141"/>
      <c r="D450" s="158"/>
      <c r="E450" s="123"/>
      <c r="F450" s="97">
        <f t="shared" si="30"/>
        <v>0</v>
      </c>
      <c r="G450" s="161"/>
      <c r="H450" s="142"/>
      <c r="I450" s="130" t="e">
        <f>VLOOKUP(H450,Presupuesto!$B$11:$C$565,2,0)</f>
        <v>#N/A</v>
      </c>
      <c r="J450" s="98" t="str">
        <f t="shared" si="32"/>
        <v>Gobernabilidad y Procesos  de Gestión Descentralizada en Redes</v>
      </c>
      <c r="K450" s="98" t="s">
        <v>399</v>
      </c>
    </row>
    <row r="451" spans="3:11" x14ac:dyDescent="0.25">
      <c r="C451" s="141"/>
      <c r="D451" s="158"/>
      <c r="E451" s="123"/>
      <c r="F451" s="97">
        <f t="shared" si="30"/>
        <v>0</v>
      </c>
      <c r="G451" s="161"/>
      <c r="H451" s="142"/>
      <c r="I451" s="130" t="e">
        <f>VLOOKUP(H451,Presupuesto!$B$11:$C$565,2,0)</f>
        <v>#N/A</v>
      </c>
      <c r="J451" s="98" t="str">
        <f t="shared" si="32"/>
        <v>Gobernabilidad y Procesos  de Gestión Descentralizada en Redes</v>
      </c>
      <c r="K451" s="98" t="s">
        <v>410</v>
      </c>
    </row>
    <row r="452" spans="3:11" x14ac:dyDescent="0.25">
      <c r="C452" s="141"/>
      <c r="D452" s="158"/>
      <c r="E452" s="123"/>
      <c r="F452" s="97">
        <f t="shared" si="30"/>
        <v>0</v>
      </c>
      <c r="G452" s="161"/>
      <c r="H452" s="142"/>
      <c r="I452" s="130" t="e">
        <f>VLOOKUP(H452,Presupuesto!$B$11:$C$565,2,0)</f>
        <v>#N/A</v>
      </c>
      <c r="J452" s="98" t="str">
        <f t="shared" si="32"/>
        <v>Gobernabilidad y Procesos  de Gestión Descentralizada en Redes</v>
      </c>
      <c r="K452" s="98" t="s">
        <v>410</v>
      </c>
    </row>
    <row r="453" spans="3:11" x14ac:dyDescent="0.25">
      <c r="C453" s="141"/>
      <c r="D453" s="158"/>
      <c r="E453" s="123"/>
      <c r="F453" s="97">
        <f t="shared" si="30"/>
        <v>0</v>
      </c>
      <c r="G453" s="161"/>
      <c r="H453" s="142"/>
      <c r="I453" s="130" t="e">
        <f>VLOOKUP(H453,Presupuesto!$B$11:$C$565,2,0)</f>
        <v>#N/A</v>
      </c>
      <c r="J453" s="98" t="str">
        <f t="shared" si="32"/>
        <v>Gobernabilidad y Procesos  de Gestión Descentralizada en Redes</v>
      </c>
      <c r="K453" s="98" t="s">
        <v>410</v>
      </c>
    </row>
    <row r="454" spans="3:11" x14ac:dyDescent="0.25">
      <c r="C454" s="141"/>
      <c r="D454" s="158"/>
      <c r="E454" s="123"/>
      <c r="F454" s="97">
        <f t="shared" si="30"/>
        <v>0</v>
      </c>
      <c r="G454" s="161"/>
      <c r="H454" s="142"/>
      <c r="I454" s="130" t="e">
        <f>VLOOKUP(H454,Presupuesto!$B$11:$C$565,2,0)</f>
        <v>#N/A</v>
      </c>
      <c r="J454" s="98" t="str">
        <f t="shared" si="32"/>
        <v>Gobernabilidad y Procesos  de Gestión Descentralizada en Redes</v>
      </c>
      <c r="K454" s="98" t="s">
        <v>410</v>
      </c>
    </row>
    <row r="455" spans="3:11" x14ac:dyDescent="0.25">
      <c r="C455" s="141"/>
      <c r="D455" s="158"/>
      <c r="E455" s="123"/>
      <c r="F455" s="97">
        <f t="shared" si="30"/>
        <v>0</v>
      </c>
      <c r="G455" s="161"/>
      <c r="H455" s="142"/>
      <c r="I455" s="130" t="e">
        <f>VLOOKUP(H455,Presupuesto!$B$11:$C$565,2,0)</f>
        <v>#N/A</v>
      </c>
      <c r="J455" s="98" t="str">
        <f t="shared" si="32"/>
        <v>Gobernabilidad y Procesos  de Gestión Descentralizada en Redes</v>
      </c>
      <c r="K455" s="98" t="s">
        <v>410</v>
      </c>
    </row>
    <row r="456" spans="3:11" x14ac:dyDescent="0.25">
      <c r="C456" s="141"/>
      <c r="D456" s="158"/>
      <c r="E456" s="123"/>
      <c r="F456" s="97">
        <f t="shared" si="30"/>
        <v>0</v>
      </c>
      <c r="G456" s="161"/>
      <c r="H456" s="142"/>
      <c r="I456" s="130" t="e">
        <f>VLOOKUP(H456,Presupuesto!$B$11:$C$565,2,0)</f>
        <v>#N/A</v>
      </c>
      <c r="J456" s="98" t="str">
        <f t="shared" si="32"/>
        <v>Gobernabilidad y Procesos  de Gestión Descentralizada en Redes</v>
      </c>
      <c r="K456" s="98" t="s">
        <v>410</v>
      </c>
    </row>
    <row r="457" spans="3:11" x14ac:dyDescent="0.25">
      <c r="C457" s="141"/>
      <c r="D457" s="158"/>
      <c r="E457" s="123"/>
      <c r="F457" s="97">
        <f t="shared" si="30"/>
        <v>0</v>
      </c>
      <c r="G457" s="161"/>
      <c r="H457" s="142"/>
      <c r="I457" s="130" t="e">
        <f>VLOOKUP(H457,Presupuesto!$B$11:$C$565,2,0)</f>
        <v>#N/A</v>
      </c>
      <c r="J457" s="98" t="str">
        <f t="shared" si="32"/>
        <v>Gobernabilidad y Procesos  de Gestión Descentralizada en Redes</v>
      </c>
      <c r="K457" s="98" t="s">
        <v>410</v>
      </c>
    </row>
    <row r="458" spans="3:11" x14ac:dyDescent="0.25">
      <c r="C458" s="141"/>
      <c r="D458" s="158"/>
      <c r="E458" s="123"/>
      <c r="F458" s="97">
        <f t="shared" si="30"/>
        <v>0</v>
      </c>
      <c r="G458" s="161"/>
      <c r="H458" s="142"/>
      <c r="I458" s="130" t="e">
        <f>VLOOKUP(H458,Presupuesto!$B$11:$C$565,2,0)</f>
        <v>#N/A</v>
      </c>
      <c r="J458" s="98" t="str">
        <f t="shared" si="32"/>
        <v>Gobernabilidad y Procesos  de Gestión Descentralizada en Redes</v>
      </c>
      <c r="K458" s="98" t="s">
        <v>410</v>
      </c>
    </row>
    <row r="459" spans="3:11" x14ac:dyDescent="0.25">
      <c r="C459" s="141"/>
      <c r="D459" s="158"/>
      <c r="E459" s="123"/>
      <c r="F459" s="97">
        <f t="shared" si="30"/>
        <v>0</v>
      </c>
      <c r="G459" s="161"/>
      <c r="H459" s="142"/>
      <c r="I459" s="130" t="e">
        <f>VLOOKUP(H459,Presupuesto!$B$11:$C$565,2,0)</f>
        <v>#N/A</v>
      </c>
      <c r="J459" s="98" t="str">
        <f t="shared" si="32"/>
        <v>Gobernabilidad y Procesos  de Gestión Descentralizada en Redes</v>
      </c>
      <c r="K459" s="98" t="s">
        <v>410</v>
      </c>
    </row>
    <row r="460" spans="3:11" x14ac:dyDescent="0.25">
      <c r="C460" s="141"/>
      <c r="D460" s="158"/>
      <c r="E460" s="123"/>
      <c r="F460" s="97">
        <f t="shared" si="30"/>
        <v>0</v>
      </c>
      <c r="G460" s="161"/>
      <c r="H460" s="142"/>
      <c r="I460" s="130" t="e">
        <f>VLOOKUP(H460,Presupuesto!$B$11:$C$565,2,0)</f>
        <v>#N/A</v>
      </c>
      <c r="J460" s="98" t="str">
        <f t="shared" si="32"/>
        <v>Gobernabilidad y Procesos  de Gestión Descentralizada en Redes</v>
      </c>
      <c r="K460" s="98" t="s">
        <v>410</v>
      </c>
    </row>
    <row r="461" spans="3:11" x14ac:dyDescent="0.25">
      <c r="C461" s="141"/>
      <c r="D461" s="158"/>
      <c r="E461" s="123"/>
      <c r="F461" s="97">
        <f t="shared" si="30"/>
        <v>0</v>
      </c>
      <c r="G461" s="161"/>
      <c r="H461" s="142"/>
      <c r="I461" s="130" t="e">
        <f>VLOOKUP(H461,Presupuesto!$B$11:$C$565,2,0)</f>
        <v>#N/A</v>
      </c>
      <c r="J461" s="98" t="str">
        <f t="shared" si="32"/>
        <v>Gobernabilidad y Procesos  de Gestión Descentralizada en Redes</v>
      </c>
      <c r="K461" s="98" t="s">
        <v>410</v>
      </c>
    </row>
    <row r="462" spans="3:11" x14ac:dyDescent="0.25">
      <c r="C462" s="141"/>
      <c r="D462" s="158"/>
      <c r="E462" s="123"/>
      <c r="F462" s="97">
        <f t="shared" si="30"/>
        <v>0</v>
      </c>
      <c r="G462" s="161"/>
      <c r="H462" s="142"/>
      <c r="I462" s="130" t="e">
        <f>VLOOKUP(H462,Presupuesto!$B$11:$C$565,2,0)</f>
        <v>#N/A</v>
      </c>
      <c r="J462" s="98" t="str">
        <f t="shared" si="32"/>
        <v>Gobernabilidad y Procesos  de Gestión Descentralizada en Redes</v>
      </c>
      <c r="K462" s="98" t="s">
        <v>410</v>
      </c>
    </row>
    <row r="463" spans="3:11" x14ac:dyDescent="0.25">
      <c r="C463" s="141"/>
      <c r="D463" s="158"/>
      <c r="E463" s="123"/>
      <c r="F463" s="97">
        <f t="shared" si="30"/>
        <v>0</v>
      </c>
      <c r="G463" s="161"/>
      <c r="H463" s="142"/>
      <c r="I463" s="130" t="e">
        <f>VLOOKUP(H463,Presupuesto!$B$11:$C$565,2,0)</f>
        <v>#N/A</v>
      </c>
      <c r="J463" s="98" t="str">
        <f t="shared" si="32"/>
        <v>Gobernabilidad y Procesos  de Gestión Descentralizada en Redes</v>
      </c>
      <c r="K463" s="98" t="s">
        <v>410</v>
      </c>
    </row>
    <row r="464" spans="3:11" x14ac:dyDescent="0.25">
      <c r="C464" s="141"/>
      <c r="D464" s="158"/>
      <c r="E464" s="123"/>
      <c r="F464" s="97">
        <f t="shared" si="30"/>
        <v>0</v>
      </c>
      <c r="G464" s="161"/>
      <c r="H464" s="142"/>
      <c r="I464" s="130" t="e">
        <f>VLOOKUP(H464,Presupuesto!$B$11:$C$565,2,0)</f>
        <v>#N/A</v>
      </c>
      <c r="J464" s="98" t="str">
        <f t="shared" si="32"/>
        <v>Gobernabilidad y Procesos  de Gestión Descentralizada en Redes</v>
      </c>
      <c r="K464" s="98" t="s">
        <v>410</v>
      </c>
    </row>
    <row r="465" spans="3:11" x14ac:dyDescent="0.25">
      <c r="C465" s="141"/>
      <c r="D465" s="158"/>
      <c r="E465" s="123"/>
      <c r="F465" s="97">
        <f t="shared" si="30"/>
        <v>0</v>
      </c>
      <c r="G465" s="161"/>
      <c r="H465" s="142"/>
      <c r="I465" s="130" t="e">
        <f>VLOOKUP(H465,Presupuesto!$B$11:$C$565,2,0)</f>
        <v>#N/A</v>
      </c>
      <c r="J465" s="98" t="str">
        <f t="shared" si="32"/>
        <v>Gobernabilidad y Procesos  de Gestión Descentralizada en Redes</v>
      </c>
      <c r="K465" s="98" t="s">
        <v>410</v>
      </c>
    </row>
    <row r="466" spans="3:11" x14ac:dyDescent="0.25">
      <c r="C466" s="141"/>
      <c r="D466" s="158"/>
      <c r="E466" s="123"/>
      <c r="F466" s="97">
        <f t="shared" si="30"/>
        <v>0</v>
      </c>
      <c r="G466" s="161"/>
      <c r="H466" s="142"/>
      <c r="I466" s="130" t="e">
        <f>VLOOKUP(H466,Presupuesto!$B$11:$C$565,2,0)</f>
        <v>#N/A</v>
      </c>
      <c r="J466" s="98" t="str">
        <f t="shared" si="32"/>
        <v>Gobernabilidad y Procesos  de Gestión Descentralizada en Redes</v>
      </c>
      <c r="K466" s="98" t="s">
        <v>410</v>
      </c>
    </row>
    <row r="467" spans="3:11" x14ac:dyDescent="0.25">
      <c r="C467" s="143"/>
      <c r="D467" s="151"/>
      <c r="E467" s="118"/>
      <c r="F467" s="97">
        <f t="shared" si="30"/>
        <v>0</v>
      </c>
      <c r="G467" s="161"/>
      <c r="H467" s="144"/>
      <c r="I467" s="130" t="e">
        <f>VLOOKUP(H467,Presupuesto!$B$11:$C$565,2,0)</f>
        <v>#N/A</v>
      </c>
      <c r="J467" s="98" t="str">
        <f t="shared" si="32"/>
        <v>Gobernabilidad y Procesos  de Gestión Descentralizada en Redes</v>
      </c>
      <c r="K467" s="98" t="s">
        <v>410</v>
      </c>
    </row>
    <row r="468" spans="3:11" x14ac:dyDescent="0.25">
      <c r="C468" s="143"/>
      <c r="D468" s="151"/>
      <c r="E468" s="118"/>
      <c r="F468" s="97">
        <f t="shared" si="30"/>
        <v>0</v>
      </c>
      <c r="G468" s="161"/>
      <c r="H468" s="144"/>
      <c r="I468" s="130" t="e">
        <f>VLOOKUP(H468,Presupuesto!$B$11:$C$565,2,0)</f>
        <v>#N/A</v>
      </c>
      <c r="J468" s="98" t="str">
        <f t="shared" si="32"/>
        <v>Gobernabilidad y Procesos  de Gestión Descentralizada en Redes</v>
      </c>
      <c r="K468" s="98" t="s">
        <v>410</v>
      </c>
    </row>
    <row r="469" spans="3:11" x14ac:dyDescent="0.25">
      <c r="C469" s="143"/>
      <c r="D469" s="151"/>
      <c r="E469" s="118"/>
      <c r="F469" s="97">
        <f t="shared" si="30"/>
        <v>0</v>
      </c>
      <c r="G469" s="161"/>
      <c r="H469" s="144"/>
      <c r="I469" s="130" t="e">
        <f>VLOOKUP(H469,Presupuesto!$B$11:$C$565,2,0)</f>
        <v>#N/A</v>
      </c>
      <c r="J469" s="98" t="str">
        <f t="shared" si="32"/>
        <v>Gobernabilidad y Procesos  de Gestión Descentralizada en Redes</v>
      </c>
      <c r="K469" s="98" t="s">
        <v>410</v>
      </c>
    </row>
    <row r="470" spans="3:11" x14ac:dyDescent="0.25">
      <c r="C470" s="143"/>
      <c r="D470" s="151"/>
      <c r="E470" s="118"/>
      <c r="F470" s="97">
        <f t="shared" si="30"/>
        <v>0</v>
      </c>
      <c r="G470" s="161"/>
      <c r="H470" s="144"/>
      <c r="I470" s="130" t="e">
        <f>VLOOKUP(H470,Presupuesto!$B$11:$C$565,2,0)</f>
        <v>#N/A</v>
      </c>
      <c r="J470" s="98" t="str">
        <f t="shared" si="32"/>
        <v>Gobernabilidad y Procesos  de Gestión Descentralizada en Redes</v>
      </c>
      <c r="K470" s="98" t="s">
        <v>410</v>
      </c>
    </row>
    <row r="471" spans="3:11" x14ac:dyDescent="0.25">
      <c r="C471" s="143"/>
      <c r="D471" s="151"/>
      <c r="E471" s="118"/>
      <c r="F471" s="97">
        <f t="shared" si="30"/>
        <v>0</v>
      </c>
      <c r="G471" s="161"/>
      <c r="H471" s="144"/>
      <c r="I471" s="130" t="e">
        <f>VLOOKUP(H471,Presupuesto!$B$11:$C$565,2,0)</f>
        <v>#N/A</v>
      </c>
      <c r="J471" s="98" t="str">
        <f t="shared" si="32"/>
        <v>Gobernabilidad y Procesos  de Gestión Descentralizada en Redes</v>
      </c>
      <c r="K471" s="98" t="s">
        <v>410</v>
      </c>
    </row>
    <row r="472" spans="3:11" x14ac:dyDescent="0.25">
      <c r="C472" s="143"/>
      <c r="D472" s="151"/>
      <c r="E472" s="118"/>
      <c r="F472" s="97">
        <f t="shared" si="30"/>
        <v>0</v>
      </c>
      <c r="G472" s="161"/>
      <c r="H472" s="144"/>
      <c r="I472" s="130" t="e">
        <f>VLOOKUP(H472,Presupuesto!$B$11:$C$565,2,0)</f>
        <v>#N/A</v>
      </c>
      <c r="J472" s="98" t="str">
        <f t="shared" si="32"/>
        <v>Gobernabilidad y Procesos  de Gestión Descentralizada en Redes</v>
      </c>
      <c r="K472" s="98" t="s">
        <v>410</v>
      </c>
    </row>
    <row r="473" spans="3:11" x14ac:dyDescent="0.25">
      <c r="C473" s="143"/>
      <c r="D473" s="151"/>
      <c r="E473" s="118"/>
      <c r="F473" s="97">
        <f t="shared" si="30"/>
        <v>0</v>
      </c>
      <c r="G473" s="161"/>
      <c r="H473" s="144"/>
      <c r="I473" s="130" t="e">
        <f>VLOOKUP(H473,Presupuesto!$B$11:$C$565,2,0)</f>
        <v>#N/A</v>
      </c>
      <c r="J473" s="98" t="str">
        <f t="shared" si="32"/>
        <v>Gobernabilidad y Procesos  de Gestión Descentralizada en Redes</v>
      </c>
      <c r="K473" s="98" t="s">
        <v>410</v>
      </c>
    </row>
    <row r="474" spans="3:11" x14ac:dyDescent="0.25">
      <c r="C474" s="143"/>
      <c r="D474" s="151"/>
      <c r="E474" s="118"/>
      <c r="F474" s="97">
        <f t="shared" si="30"/>
        <v>0</v>
      </c>
      <c r="G474" s="161"/>
      <c r="H474" s="144"/>
      <c r="I474" s="130" t="e">
        <f>VLOOKUP(H474,Presupuesto!$B$11:$C$565,2,0)</f>
        <v>#N/A</v>
      </c>
      <c r="J474" s="98" t="str">
        <f t="shared" si="32"/>
        <v>Gobernabilidad y Procesos  de Gestión Descentralizada en Redes</v>
      </c>
      <c r="K474" s="98" t="s">
        <v>410</v>
      </c>
    </row>
    <row r="475" spans="3:11" x14ac:dyDescent="0.25">
      <c r="C475" s="145"/>
      <c r="D475" s="151"/>
      <c r="E475" s="118"/>
      <c r="F475" s="97">
        <f t="shared" si="30"/>
        <v>0</v>
      </c>
      <c r="G475" s="161"/>
      <c r="H475" s="146"/>
      <c r="I475" s="130" t="e">
        <f>VLOOKUP(H475,Presupuesto!$B$11:$C$565,2,0)</f>
        <v>#N/A</v>
      </c>
      <c r="J475" s="98" t="str">
        <f t="shared" si="32"/>
        <v>Gobernabilidad y Procesos  de Gestión Descentralizada en Redes</v>
      </c>
      <c r="K475" s="98" t="s">
        <v>401</v>
      </c>
    </row>
    <row r="476" spans="3:11" x14ac:dyDescent="0.25">
      <c r="C476" s="145"/>
      <c r="D476" s="151"/>
      <c r="E476" s="118"/>
      <c r="F476" s="97">
        <f t="shared" si="30"/>
        <v>0</v>
      </c>
      <c r="G476" s="161"/>
      <c r="H476" s="146"/>
      <c r="I476" s="130" t="e">
        <f>VLOOKUP(H476,Presupuesto!$B$11:$C$565,2,0)</f>
        <v>#N/A</v>
      </c>
      <c r="J476" s="98" t="str">
        <f t="shared" si="32"/>
        <v>Gobernabilidad y Procesos  de Gestión Descentralizada en Redes</v>
      </c>
      <c r="K476" s="98" t="s">
        <v>410</v>
      </c>
    </row>
    <row r="477" spans="3:11" x14ac:dyDescent="0.25">
      <c r="C477" s="145"/>
      <c r="D477" s="151"/>
      <c r="E477" s="118"/>
      <c r="F477" s="97">
        <f t="shared" si="30"/>
        <v>0</v>
      </c>
      <c r="G477" s="161"/>
      <c r="H477" s="146"/>
      <c r="I477" s="130" t="e">
        <f>VLOOKUP(H477,Presupuesto!$B$11:$C$565,2,0)</f>
        <v>#N/A</v>
      </c>
      <c r="J477" s="98" t="str">
        <f t="shared" si="32"/>
        <v>Gobernabilidad y Procesos  de Gestión Descentralizada en Redes</v>
      </c>
      <c r="K477" s="98" t="s">
        <v>410</v>
      </c>
    </row>
    <row r="478" spans="3:11" x14ac:dyDescent="0.25">
      <c r="C478" s="145"/>
      <c r="D478" s="151"/>
      <c r="E478" s="118"/>
      <c r="F478" s="97">
        <f t="shared" si="30"/>
        <v>0</v>
      </c>
      <c r="G478" s="161"/>
      <c r="H478" s="146"/>
      <c r="I478" s="130" t="e">
        <f>VLOOKUP(H478,Presupuesto!$B$11:$C$565,2,0)</f>
        <v>#N/A</v>
      </c>
      <c r="J478" s="98" t="str">
        <f t="shared" si="32"/>
        <v>Gobernabilidad y Procesos  de Gestión Descentralizada en Redes</v>
      </c>
      <c r="K478" s="98" t="s">
        <v>410</v>
      </c>
    </row>
    <row r="479" spans="3:11" ht="15.75" thickBot="1" x14ac:dyDescent="0.3">
      <c r="C479" s="147"/>
      <c r="D479" s="159"/>
      <c r="E479" s="103"/>
      <c r="F479" s="105">
        <f t="shared" si="30"/>
        <v>0</v>
      </c>
      <c r="G479" s="162"/>
      <c r="H479" s="148"/>
      <c r="I479" s="132" t="e">
        <f>VLOOKUP(H479,Presupuesto!$B$11:$C$565,2,0)</f>
        <v>#N/A</v>
      </c>
      <c r="J479" s="106" t="str">
        <f t="shared" si="32"/>
        <v>Gobernabilidad y Procesos  de Gestión Descentralizada en Redes</v>
      </c>
      <c r="K479" s="124" t="s">
        <v>392</v>
      </c>
    </row>
    <row r="481" spans="3:11" ht="15.75" thickBot="1" x14ac:dyDescent="0.3"/>
    <row r="482" spans="3:11" ht="15.75" thickBot="1" x14ac:dyDescent="0.3">
      <c r="C482" s="157" t="s">
        <v>53</v>
      </c>
      <c r="D482" s="372">
        <f>SUM(F489:F523)</f>
        <v>300000</v>
      </c>
      <c r="F482" s="70"/>
      <c r="G482" s="79"/>
      <c r="H482" s="70"/>
      <c r="I482" s="70"/>
    </row>
    <row r="483" spans="3:11" x14ac:dyDescent="0.25">
      <c r="C483" s="70"/>
      <c r="D483" s="31"/>
      <c r="E483" s="93"/>
      <c r="F483" s="93"/>
      <c r="G483" s="93"/>
      <c r="H483" s="76"/>
      <c r="I483" s="76"/>
      <c r="J483" s="76"/>
      <c r="K483" s="112"/>
    </row>
    <row r="484" spans="3:11" x14ac:dyDescent="0.25">
      <c r="C484" s="70"/>
      <c r="D484" s="31"/>
      <c r="E484" s="93"/>
      <c r="F484" s="93"/>
      <c r="G484" s="93"/>
      <c r="H484" s="76"/>
      <c r="I484" s="76"/>
      <c r="J484" s="76"/>
      <c r="K484" s="112"/>
    </row>
    <row r="485" spans="3:11" ht="15.75" x14ac:dyDescent="0.25">
      <c r="C485" s="202" t="s">
        <v>390</v>
      </c>
      <c r="D485" s="368" t="str">
        <f>'15. Gobernabilidad y Proceso...'!G23</f>
        <v>1.3.3</v>
      </c>
      <c r="E485" s="93"/>
      <c r="F485" s="93"/>
      <c r="G485" s="93"/>
      <c r="H485" s="76"/>
      <c r="I485" s="76"/>
      <c r="J485" s="76"/>
      <c r="K485" s="112"/>
    </row>
    <row r="486" spans="3:11" ht="18.75" x14ac:dyDescent="0.25">
      <c r="C486" s="210" t="str">
        <f>IFERROR(VLOOKUP(D485,'1. Desarrollo e Innov. Curricu.'!$F:$G,2,FALSE),IFERROR(VLOOKUP(D485,'2. Investigación Científica'!$F:$G,2,FALSE),IFERROR(VLOOKUP(D485,'3. Vinculación Univ. Sociedad'!$F:$G,2,FALSE),IFERROR(VLOOKUP(D485,'4. Docencia y Profesorado Univ.'!$F:$G,2,FALSE),IFERROR(VLOOKUP(D485,'5. Estudiantes y Graduados'!$F:$G,2,FALSE),IFERROR(VLOOKUP(D485,'11. Gestion Administrativa'!$F:$G,2,FALSE),IFERROR(VLOOKUP(D485,'13. Gestión Académica'!$F:$G,2,FALSE),IFERROR(VLOOKUP(D485,'9. Asegura. de la Calid. y M'!$F:$G,2,FALSE),IFERROR(VLOOKUP(D485,'6. Gestión del Conocimiento'!$F:$G,2,FALSE),IFERROR(VLOOKUP(D485,'15. Gobernabilidad y Proceso...'!$G:$H,2,FALSE),IFERROR(VLOOKUP(D485,'12. Gestión del Talento Humano'!$F:$G,2,FALSE),IFERROR(VLOOKUP(D485,'14. Internacional... de la E.S.'!$F:$G,2,FALSE),IFERROR(VLOOKUP(D485,'10. Posgrado'!$F:$G,2,FALSE),IFERROR(VLOOKUP(D485,'17. Gestión TIC'!$F:$G,2,FALSE),IFERROR(VLOOKUP(D485,'16. Desa. del Sistema Educ.Sup.'!$F:$G,2,FALSE),IFERROR(VLOOKUP(D485,'8. Cultura de Inno. Insti...'!$F:$G,2,FALSE),VLOOKUP(D485,'7. Lo Esencial de la Reforma U.'!$G:$H,2,0)))))))))))))))))</f>
        <v>1.3.2. a)La Oficina del Comisionado y  la Unidad Contra el Acoso Sexual trasladada a un nuevo espacio fisico 1.3.2.b.1) Oficios remitidos a Junta de Dirección Universitaria, Rectoría y Administracion del CISE.</v>
      </c>
      <c r="D486" s="31"/>
      <c r="E486" s="93"/>
      <c r="F486" s="93"/>
      <c r="G486" s="93"/>
      <c r="H486" s="76"/>
      <c r="I486" s="76"/>
      <c r="J486" s="76"/>
      <c r="K486" s="112"/>
    </row>
    <row r="487" spans="3:11" ht="15.75" thickBot="1" x14ac:dyDescent="0.3">
      <c r="F487" s="93"/>
      <c r="G487" s="76"/>
      <c r="H487" s="76"/>
      <c r="I487" s="76"/>
    </row>
    <row r="488" spans="3:11" ht="15.75" thickBot="1" x14ac:dyDescent="0.3">
      <c r="C488" s="129" t="s">
        <v>44</v>
      </c>
      <c r="D488" s="129" t="s">
        <v>55</v>
      </c>
      <c r="E488" s="136" t="s">
        <v>57</v>
      </c>
      <c r="F488" s="135" t="s">
        <v>27</v>
      </c>
      <c r="G488" s="133" t="s">
        <v>129</v>
      </c>
      <c r="H488" s="136" t="s">
        <v>46</v>
      </c>
      <c r="I488" s="133" t="s">
        <v>130</v>
      </c>
      <c r="J488" s="133" t="s">
        <v>408</v>
      </c>
      <c r="K488" s="133" t="s">
        <v>409</v>
      </c>
    </row>
    <row r="489" spans="3:11" x14ac:dyDescent="0.25">
      <c r="C489" s="220" t="s">
        <v>437</v>
      </c>
      <c r="D489" s="221"/>
      <c r="E489" s="219">
        <f>HLOOKUP(C489,$AH$2:$BU$3,2,0)</f>
        <v>620</v>
      </c>
      <c r="F489" s="97">
        <f t="shared" ref="F489:F523" si="33">D489*E489</f>
        <v>0</v>
      </c>
      <c r="G489" s="161"/>
      <c r="H489" s="142"/>
      <c r="I489" s="130" t="e">
        <f>VLOOKUP(H489,Presupuesto!$B$11:$C$565,2,0)</f>
        <v>#N/A</v>
      </c>
      <c r="J489" s="218" t="s">
        <v>1468</v>
      </c>
      <c r="K489" s="98" t="s">
        <v>392</v>
      </c>
    </row>
    <row r="490" spans="3:11" x14ac:dyDescent="0.25">
      <c r="C490" s="141" t="s">
        <v>1889</v>
      </c>
      <c r="D490" s="158">
        <v>1</v>
      </c>
      <c r="E490" s="123">
        <v>300000</v>
      </c>
      <c r="F490" s="97">
        <f t="shared" si="33"/>
        <v>300000</v>
      </c>
      <c r="G490" s="161" t="s">
        <v>1675</v>
      </c>
      <c r="H490" s="142" t="s">
        <v>661</v>
      </c>
      <c r="I490" s="130" t="str">
        <f>VLOOKUP(H490,Presupuesto!$B$11:$C$565,2,0)</f>
        <v>MANTENIMIENTO Y REPARACION DE EDIFIC.Y LOCALES.</v>
      </c>
      <c r="J490" s="98" t="str">
        <f>$J$489</f>
        <v>Desarrollo del Sistema de Educación Superior</v>
      </c>
      <c r="K490" s="98" t="s">
        <v>410</v>
      </c>
    </row>
    <row r="491" spans="3:11" x14ac:dyDescent="0.25">
      <c r="C491" s="141"/>
      <c r="D491" s="158"/>
      <c r="E491" s="123"/>
      <c r="F491" s="97">
        <f t="shared" si="33"/>
        <v>0</v>
      </c>
      <c r="G491" s="161"/>
      <c r="H491" s="142"/>
      <c r="I491" s="130" t="e">
        <f>VLOOKUP(H491,Presupuesto!$B$11:$C$565,2,0)</f>
        <v>#N/A</v>
      </c>
      <c r="J491" s="98" t="str">
        <f t="shared" ref="J491:J523" si="34">$J$489</f>
        <v>Desarrollo del Sistema de Educación Superior</v>
      </c>
      <c r="K491" s="98" t="s">
        <v>410</v>
      </c>
    </row>
    <row r="492" spans="3:11" x14ac:dyDescent="0.25">
      <c r="C492" s="141"/>
      <c r="D492" s="158"/>
      <c r="E492" s="123"/>
      <c r="F492" s="97">
        <f t="shared" si="33"/>
        <v>0</v>
      </c>
      <c r="G492" s="161"/>
      <c r="H492" s="142"/>
      <c r="I492" s="130" t="e">
        <f>VLOOKUP(H492,Presupuesto!$B$11:$C$565,2,0)</f>
        <v>#N/A</v>
      </c>
      <c r="J492" s="98" t="str">
        <f t="shared" si="34"/>
        <v>Desarrollo del Sistema de Educación Superior</v>
      </c>
      <c r="K492" s="98" t="s">
        <v>410</v>
      </c>
    </row>
    <row r="493" spans="3:11" x14ac:dyDescent="0.25">
      <c r="C493" s="141"/>
      <c r="D493" s="158"/>
      <c r="E493" s="123"/>
      <c r="F493" s="97">
        <f t="shared" si="33"/>
        <v>0</v>
      </c>
      <c r="G493" s="161"/>
      <c r="H493" s="142"/>
      <c r="I493" s="130" t="e">
        <f>VLOOKUP(H493,Presupuesto!$B$11:$C$565,2,0)</f>
        <v>#N/A</v>
      </c>
      <c r="J493" s="98" t="str">
        <f t="shared" si="34"/>
        <v>Desarrollo del Sistema de Educación Superior</v>
      </c>
      <c r="K493" s="98" t="s">
        <v>410</v>
      </c>
    </row>
    <row r="494" spans="3:11" x14ac:dyDescent="0.25">
      <c r="C494" s="141"/>
      <c r="D494" s="158"/>
      <c r="E494" s="123"/>
      <c r="F494" s="97">
        <f t="shared" si="33"/>
        <v>0</v>
      </c>
      <c r="G494" s="161"/>
      <c r="H494" s="142"/>
      <c r="I494" s="130" t="e">
        <f>VLOOKUP(H494,Presupuesto!$B$11:$C$565,2,0)</f>
        <v>#N/A</v>
      </c>
      <c r="J494" s="98" t="str">
        <f t="shared" si="34"/>
        <v>Desarrollo del Sistema de Educación Superior</v>
      </c>
      <c r="K494" s="98" t="s">
        <v>399</v>
      </c>
    </row>
    <row r="495" spans="3:11" x14ac:dyDescent="0.25">
      <c r="C495" s="141"/>
      <c r="D495" s="158"/>
      <c r="E495" s="123"/>
      <c r="F495" s="97">
        <f t="shared" si="33"/>
        <v>0</v>
      </c>
      <c r="G495" s="161"/>
      <c r="H495" s="142"/>
      <c r="I495" s="130" t="e">
        <f>VLOOKUP(H495,Presupuesto!$B$11:$C$565,2,0)</f>
        <v>#N/A</v>
      </c>
      <c r="J495" s="98" t="str">
        <f t="shared" si="34"/>
        <v>Desarrollo del Sistema de Educación Superior</v>
      </c>
      <c r="K495" s="98" t="s">
        <v>410</v>
      </c>
    </row>
    <row r="496" spans="3:11" x14ac:dyDescent="0.25">
      <c r="C496" s="141"/>
      <c r="D496" s="158"/>
      <c r="E496" s="123"/>
      <c r="F496" s="97">
        <f t="shared" si="33"/>
        <v>0</v>
      </c>
      <c r="G496" s="161"/>
      <c r="H496" s="142"/>
      <c r="I496" s="130" t="e">
        <f>VLOOKUP(H496,Presupuesto!$B$11:$C$565,2,0)</f>
        <v>#N/A</v>
      </c>
      <c r="J496" s="98" t="str">
        <f t="shared" si="34"/>
        <v>Desarrollo del Sistema de Educación Superior</v>
      </c>
      <c r="K496" s="98" t="s">
        <v>410</v>
      </c>
    </row>
    <row r="497" spans="3:11" x14ac:dyDescent="0.25">
      <c r="C497" s="141"/>
      <c r="D497" s="158"/>
      <c r="E497" s="123"/>
      <c r="F497" s="97">
        <f t="shared" si="33"/>
        <v>0</v>
      </c>
      <c r="G497" s="161"/>
      <c r="H497" s="142"/>
      <c r="I497" s="130" t="e">
        <f>VLOOKUP(H497,Presupuesto!$B$11:$C$565,2,0)</f>
        <v>#N/A</v>
      </c>
      <c r="J497" s="98" t="str">
        <f t="shared" si="34"/>
        <v>Desarrollo del Sistema de Educación Superior</v>
      </c>
      <c r="K497" s="98" t="s">
        <v>410</v>
      </c>
    </row>
    <row r="498" spans="3:11" x14ac:dyDescent="0.25">
      <c r="C498" s="141"/>
      <c r="D498" s="158"/>
      <c r="E498" s="123"/>
      <c r="F498" s="97">
        <f t="shared" si="33"/>
        <v>0</v>
      </c>
      <c r="G498" s="161"/>
      <c r="H498" s="142"/>
      <c r="I498" s="130" t="e">
        <f>VLOOKUP(H498,Presupuesto!$B$11:$C$565,2,0)</f>
        <v>#N/A</v>
      </c>
      <c r="J498" s="98" t="str">
        <f t="shared" si="34"/>
        <v>Desarrollo del Sistema de Educación Superior</v>
      </c>
      <c r="K498" s="98" t="s">
        <v>410</v>
      </c>
    </row>
    <row r="499" spans="3:11" x14ac:dyDescent="0.25">
      <c r="C499" s="141"/>
      <c r="D499" s="158"/>
      <c r="E499" s="123"/>
      <c r="F499" s="97">
        <f t="shared" si="33"/>
        <v>0</v>
      </c>
      <c r="G499" s="161"/>
      <c r="H499" s="142"/>
      <c r="I499" s="130" t="e">
        <f>VLOOKUP(H499,Presupuesto!$B$11:$C$565,2,0)</f>
        <v>#N/A</v>
      </c>
      <c r="J499" s="98" t="str">
        <f t="shared" si="34"/>
        <v>Desarrollo del Sistema de Educación Superior</v>
      </c>
      <c r="K499" s="98" t="s">
        <v>410</v>
      </c>
    </row>
    <row r="500" spans="3:11" x14ac:dyDescent="0.25">
      <c r="C500" s="141"/>
      <c r="D500" s="158"/>
      <c r="E500" s="123"/>
      <c r="F500" s="97">
        <f t="shared" si="33"/>
        <v>0</v>
      </c>
      <c r="G500" s="161"/>
      <c r="H500" s="142"/>
      <c r="I500" s="130" t="e">
        <f>VLOOKUP(H500,Presupuesto!$B$11:$C$565,2,0)</f>
        <v>#N/A</v>
      </c>
      <c r="J500" s="98" t="str">
        <f t="shared" si="34"/>
        <v>Desarrollo del Sistema de Educación Superior</v>
      </c>
      <c r="K500" s="98" t="s">
        <v>410</v>
      </c>
    </row>
    <row r="501" spans="3:11" x14ac:dyDescent="0.25">
      <c r="C501" s="141"/>
      <c r="D501" s="158"/>
      <c r="E501" s="123"/>
      <c r="F501" s="97">
        <f t="shared" si="33"/>
        <v>0</v>
      </c>
      <c r="G501" s="161"/>
      <c r="H501" s="142"/>
      <c r="I501" s="130" t="e">
        <f>VLOOKUP(H501,Presupuesto!$B$11:$C$565,2,0)</f>
        <v>#N/A</v>
      </c>
      <c r="J501" s="98" t="str">
        <f t="shared" si="34"/>
        <v>Desarrollo del Sistema de Educación Superior</v>
      </c>
      <c r="K501" s="98" t="s">
        <v>410</v>
      </c>
    </row>
    <row r="502" spans="3:11" x14ac:dyDescent="0.25">
      <c r="C502" s="141"/>
      <c r="D502" s="158"/>
      <c r="E502" s="123"/>
      <c r="F502" s="97">
        <f t="shared" si="33"/>
        <v>0</v>
      </c>
      <c r="G502" s="161"/>
      <c r="H502" s="142"/>
      <c r="I502" s="130" t="e">
        <f>VLOOKUP(H502,Presupuesto!$B$11:$C$565,2,0)</f>
        <v>#N/A</v>
      </c>
      <c r="J502" s="98" t="str">
        <f t="shared" si="34"/>
        <v>Desarrollo del Sistema de Educación Superior</v>
      </c>
      <c r="K502" s="98" t="s">
        <v>410</v>
      </c>
    </row>
    <row r="503" spans="3:11" x14ac:dyDescent="0.25">
      <c r="C503" s="141"/>
      <c r="D503" s="158"/>
      <c r="E503" s="123"/>
      <c r="F503" s="97">
        <f t="shared" si="33"/>
        <v>0</v>
      </c>
      <c r="G503" s="161"/>
      <c r="H503" s="142"/>
      <c r="I503" s="130" t="e">
        <f>VLOOKUP(H503,Presupuesto!$B$11:$C$565,2,0)</f>
        <v>#N/A</v>
      </c>
      <c r="J503" s="98" t="str">
        <f t="shared" si="34"/>
        <v>Desarrollo del Sistema de Educación Superior</v>
      </c>
      <c r="K503" s="98" t="s">
        <v>410</v>
      </c>
    </row>
    <row r="504" spans="3:11" x14ac:dyDescent="0.25">
      <c r="C504" s="141"/>
      <c r="D504" s="158"/>
      <c r="E504" s="123"/>
      <c r="F504" s="97">
        <f t="shared" si="33"/>
        <v>0</v>
      </c>
      <c r="G504" s="161"/>
      <c r="H504" s="142"/>
      <c r="I504" s="130" t="e">
        <f>VLOOKUP(H504,Presupuesto!$B$11:$C$565,2,0)</f>
        <v>#N/A</v>
      </c>
      <c r="J504" s="98" t="str">
        <f t="shared" si="34"/>
        <v>Desarrollo del Sistema de Educación Superior</v>
      </c>
      <c r="K504" s="98" t="s">
        <v>410</v>
      </c>
    </row>
    <row r="505" spans="3:11" x14ac:dyDescent="0.25">
      <c r="C505" s="141"/>
      <c r="D505" s="158"/>
      <c r="E505" s="123"/>
      <c r="F505" s="97">
        <f t="shared" si="33"/>
        <v>0</v>
      </c>
      <c r="G505" s="161"/>
      <c r="H505" s="142"/>
      <c r="I505" s="130" t="e">
        <f>VLOOKUP(H505,Presupuesto!$B$11:$C$565,2,0)</f>
        <v>#N/A</v>
      </c>
      <c r="J505" s="98" t="str">
        <f t="shared" si="34"/>
        <v>Desarrollo del Sistema de Educación Superior</v>
      </c>
      <c r="K505" s="98" t="s">
        <v>410</v>
      </c>
    </row>
    <row r="506" spans="3:11" x14ac:dyDescent="0.25">
      <c r="C506" s="141"/>
      <c r="D506" s="158"/>
      <c r="E506" s="123"/>
      <c r="F506" s="97">
        <f t="shared" si="33"/>
        <v>0</v>
      </c>
      <c r="G506" s="161"/>
      <c r="H506" s="142"/>
      <c r="I506" s="130" t="e">
        <f>VLOOKUP(H506,Presupuesto!$B$11:$C$565,2,0)</f>
        <v>#N/A</v>
      </c>
      <c r="J506" s="98" t="str">
        <f t="shared" si="34"/>
        <v>Desarrollo del Sistema de Educación Superior</v>
      </c>
      <c r="K506" s="98" t="s">
        <v>410</v>
      </c>
    </row>
    <row r="507" spans="3:11" x14ac:dyDescent="0.25">
      <c r="C507" s="141"/>
      <c r="D507" s="158"/>
      <c r="E507" s="123"/>
      <c r="F507" s="97">
        <f t="shared" si="33"/>
        <v>0</v>
      </c>
      <c r="G507" s="161"/>
      <c r="H507" s="142"/>
      <c r="I507" s="130" t="e">
        <f>VLOOKUP(H507,Presupuesto!$B$11:$C$565,2,0)</f>
        <v>#N/A</v>
      </c>
      <c r="J507" s="98" t="str">
        <f t="shared" si="34"/>
        <v>Desarrollo del Sistema de Educación Superior</v>
      </c>
      <c r="K507" s="98" t="s">
        <v>410</v>
      </c>
    </row>
    <row r="508" spans="3:11" x14ac:dyDescent="0.25">
      <c r="C508" s="141"/>
      <c r="D508" s="158"/>
      <c r="E508" s="123"/>
      <c r="F508" s="97">
        <f t="shared" si="33"/>
        <v>0</v>
      </c>
      <c r="G508" s="161"/>
      <c r="H508" s="142"/>
      <c r="I508" s="130" t="e">
        <f>VLOOKUP(H508,Presupuesto!$B$11:$C$565,2,0)</f>
        <v>#N/A</v>
      </c>
      <c r="J508" s="98" t="str">
        <f t="shared" si="34"/>
        <v>Desarrollo del Sistema de Educación Superior</v>
      </c>
      <c r="K508" s="98" t="s">
        <v>410</v>
      </c>
    </row>
    <row r="509" spans="3:11" x14ac:dyDescent="0.25">
      <c r="C509" s="141"/>
      <c r="D509" s="158"/>
      <c r="E509" s="123"/>
      <c r="F509" s="97">
        <f t="shared" si="33"/>
        <v>0</v>
      </c>
      <c r="G509" s="161"/>
      <c r="H509" s="142"/>
      <c r="I509" s="130" t="e">
        <f>VLOOKUP(H509,Presupuesto!$B$11:$C$565,2,0)</f>
        <v>#N/A</v>
      </c>
      <c r="J509" s="98" t="str">
        <f t="shared" si="34"/>
        <v>Desarrollo del Sistema de Educación Superior</v>
      </c>
      <c r="K509" s="98" t="s">
        <v>410</v>
      </c>
    </row>
    <row r="510" spans="3:11" x14ac:dyDescent="0.25">
      <c r="C510" s="141"/>
      <c r="D510" s="158"/>
      <c r="E510" s="123"/>
      <c r="F510" s="97">
        <f t="shared" si="33"/>
        <v>0</v>
      </c>
      <c r="G510" s="161"/>
      <c r="H510" s="142"/>
      <c r="I510" s="130" t="e">
        <f>VLOOKUP(H510,Presupuesto!$B$11:$C$565,2,0)</f>
        <v>#N/A</v>
      </c>
      <c r="J510" s="98" t="str">
        <f t="shared" si="34"/>
        <v>Desarrollo del Sistema de Educación Superior</v>
      </c>
      <c r="K510" s="98" t="s">
        <v>410</v>
      </c>
    </row>
    <row r="511" spans="3:11" x14ac:dyDescent="0.25">
      <c r="C511" s="143"/>
      <c r="D511" s="151"/>
      <c r="E511" s="118"/>
      <c r="F511" s="97">
        <f t="shared" si="33"/>
        <v>0</v>
      </c>
      <c r="G511" s="161"/>
      <c r="H511" s="144"/>
      <c r="I511" s="130" t="e">
        <f>VLOOKUP(H511,Presupuesto!$B$11:$C$565,2,0)</f>
        <v>#N/A</v>
      </c>
      <c r="J511" s="98" t="str">
        <f t="shared" si="34"/>
        <v>Desarrollo del Sistema de Educación Superior</v>
      </c>
      <c r="K511" s="98" t="s">
        <v>410</v>
      </c>
    </row>
    <row r="512" spans="3:11" x14ac:dyDescent="0.25">
      <c r="C512" s="143"/>
      <c r="D512" s="151"/>
      <c r="E512" s="118"/>
      <c r="F512" s="97">
        <f t="shared" si="33"/>
        <v>0</v>
      </c>
      <c r="G512" s="161"/>
      <c r="H512" s="144"/>
      <c r="I512" s="130" t="e">
        <f>VLOOKUP(H512,Presupuesto!$B$11:$C$565,2,0)</f>
        <v>#N/A</v>
      </c>
      <c r="J512" s="98" t="str">
        <f t="shared" si="34"/>
        <v>Desarrollo del Sistema de Educación Superior</v>
      </c>
      <c r="K512" s="98" t="s">
        <v>410</v>
      </c>
    </row>
    <row r="513" spans="3:11" x14ac:dyDescent="0.25">
      <c r="C513" s="143"/>
      <c r="D513" s="151"/>
      <c r="E513" s="118"/>
      <c r="F513" s="97">
        <f t="shared" si="33"/>
        <v>0</v>
      </c>
      <c r="G513" s="161"/>
      <c r="H513" s="144"/>
      <c r="I513" s="130" t="e">
        <f>VLOOKUP(H513,Presupuesto!$B$11:$C$565,2,0)</f>
        <v>#N/A</v>
      </c>
      <c r="J513" s="98" t="str">
        <f t="shared" si="34"/>
        <v>Desarrollo del Sistema de Educación Superior</v>
      </c>
      <c r="K513" s="98" t="s">
        <v>410</v>
      </c>
    </row>
    <row r="514" spans="3:11" x14ac:dyDescent="0.25">
      <c r="C514" s="143"/>
      <c r="D514" s="151"/>
      <c r="E514" s="118"/>
      <c r="F514" s="97">
        <f t="shared" si="33"/>
        <v>0</v>
      </c>
      <c r="G514" s="161"/>
      <c r="H514" s="144"/>
      <c r="I514" s="130" t="e">
        <f>VLOOKUP(H514,Presupuesto!$B$11:$C$565,2,0)</f>
        <v>#N/A</v>
      </c>
      <c r="J514" s="98" t="str">
        <f t="shared" si="34"/>
        <v>Desarrollo del Sistema de Educación Superior</v>
      </c>
      <c r="K514" s="98" t="s">
        <v>410</v>
      </c>
    </row>
    <row r="515" spans="3:11" x14ac:dyDescent="0.25">
      <c r="C515" s="143"/>
      <c r="D515" s="151"/>
      <c r="E515" s="118"/>
      <c r="F515" s="97">
        <f t="shared" si="33"/>
        <v>0</v>
      </c>
      <c r="G515" s="161"/>
      <c r="H515" s="144"/>
      <c r="I515" s="130" t="e">
        <f>VLOOKUP(H515,Presupuesto!$B$11:$C$565,2,0)</f>
        <v>#N/A</v>
      </c>
      <c r="J515" s="98" t="str">
        <f t="shared" si="34"/>
        <v>Desarrollo del Sistema de Educación Superior</v>
      </c>
      <c r="K515" s="98" t="s">
        <v>410</v>
      </c>
    </row>
    <row r="516" spans="3:11" x14ac:dyDescent="0.25">
      <c r="C516" s="143"/>
      <c r="D516" s="151"/>
      <c r="E516" s="118"/>
      <c r="F516" s="97">
        <f t="shared" si="33"/>
        <v>0</v>
      </c>
      <c r="G516" s="161"/>
      <c r="H516" s="144"/>
      <c r="I516" s="130" t="e">
        <f>VLOOKUP(H516,Presupuesto!$B$11:$C$565,2,0)</f>
        <v>#N/A</v>
      </c>
      <c r="J516" s="98" t="str">
        <f t="shared" si="34"/>
        <v>Desarrollo del Sistema de Educación Superior</v>
      </c>
      <c r="K516" s="98" t="s">
        <v>410</v>
      </c>
    </row>
    <row r="517" spans="3:11" x14ac:dyDescent="0.25">
      <c r="C517" s="143"/>
      <c r="D517" s="151"/>
      <c r="E517" s="118"/>
      <c r="F517" s="97">
        <f t="shared" si="33"/>
        <v>0</v>
      </c>
      <c r="G517" s="161"/>
      <c r="H517" s="144"/>
      <c r="I517" s="130" t="e">
        <f>VLOOKUP(H517,Presupuesto!$B$11:$C$565,2,0)</f>
        <v>#N/A</v>
      </c>
      <c r="J517" s="98" t="str">
        <f t="shared" si="34"/>
        <v>Desarrollo del Sistema de Educación Superior</v>
      </c>
      <c r="K517" s="98" t="s">
        <v>410</v>
      </c>
    </row>
    <row r="518" spans="3:11" x14ac:dyDescent="0.25">
      <c r="C518" s="143"/>
      <c r="D518" s="151"/>
      <c r="E518" s="118"/>
      <c r="F518" s="97">
        <f t="shared" si="33"/>
        <v>0</v>
      </c>
      <c r="G518" s="161"/>
      <c r="H518" s="144"/>
      <c r="I518" s="130" t="e">
        <f>VLOOKUP(H518,Presupuesto!$B$11:$C$565,2,0)</f>
        <v>#N/A</v>
      </c>
      <c r="J518" s="98" t="str">
        <f t="shared" si="34"/>
        <v>Desarrollo del Sistema de Educación Superior</v>
      </c>
      <c r="K518" s="98" t="s">
        <v>410</v>
      </c>
    </row>
    <row r="519" spans="3:11" x14ac:dyDescent="0.25">
      <c r="C519" s="145"/>
      <c r="D519" s="151"/>
      <c r="E519" s="118"/>
      <c r="F519" s="97">
        <f t="shared" si="33"/>
        <v>0</v>
      </c>
      <c r="G519" s="161"/>
      <c r="H519" s="146"/>
      <c r="I519" s="130" t="e">
        <f>VLOOKUP(H519,Presupuesto!$B$11:$C$565,2,0)</f>
        <v>#N/A</v>
      </c>
      <c r="J519" s="98" t="str">
        <f t="shared" si="34"/>
        <v>Desarrollo del Sistema de Educación Superior</v>
      </c>
      <c r="K519" s="98" t="s">
        <v>401</v>
      </c>
    </row>
    <row r="520" spans="3:11" x14ac:dyDescent="0.25">
      <c r="C520" s="145"/>
      <c r="D520" s="151"/>
      <c r="E520" s="118"/>
      <c r="F520" s="97">
        <f t="shared" si="33"/>
        <v>0</v>
      </c>
      <c r="G520" s="161"/>
      <c r="H520" s="146"/>
      <c r="I520" s="130" t="e">
        <f>VLOOKUP(H520,Presupuesto!$B$11:$C$565,2,0)</f>
        <v>#N/A</v>
      </c>
      <c r="J520" s="98" t="str">
        <f t="shared" si="34"/>
        <v>Desarrollo del Sistema de Educación Superior</v>
      </c>
      <c r="K520" s="98" t="s">
        <v>410</v>
      </c>
    </row>
    <row r="521" spans="3:11" x14ac:dyDescent="0.25">
      <c r="C521" s="145"/>
      <c r="D521" s="151"/>
      <c r="E521" s="118"/>
      <c r="F521" s="97">
        <f t="shared" si="33"/>
        <v>0</v>
      </c>
      <c r="G521" s="161"/>
      <c r="H521" s="146"/>
      <c r="I521" s="130" t="e">
        <f>VLOOKUP(H521,Presupuesto!$B$11:$C$565,2,0)</f>
        <v>#N/A</v>
      </c>
      <c r="J521" s="98" t="str">
        <f t="shared" si="34"/>
        <v>Desarrollo del Sistema de Educación Superior</v>
      </c>
      <c r="K521" s="98" t="s">
        <v>410</v>
      </c>
    </row>
    <row r="522" spans="3:11" x14ac:dyDescent="0.25">
      <c r="C522" s="145"/>
      <c r="D522" s="151"/>
      <c r="E522" s="118"/>
      <c r="F522" s="97">
        <f t="shared" si="33"/>
        <v>0</v>
      </c>
      <c r="G522" s="161"/>
      <c r="H522" s="146"/>
      <c r="I522" s="130" t="e">
        <f>VLOOKUP(H522,Presupuesto!$B$11:$C$565,2,0)</f>
        <v>#N/A</v>
      </c>
      <c r="J522" s="98" t="str">
        <f t="shared" si="34"/>
        <v>Desarrollo del Sistema de Educación Superior</v>
      </c>
      <c r="K522" s="98" t="s">
        <v>410</v>
      </c>
    </row>
    <row r="523" spans="3:11" ht="15.75" thickBot="1" x14ac:dyDescent="0.3">
      <c r="C523" s="147"/>
      <c r="D523" s="159"/>
      <c r="E523" s="103"/>
      <c r="F523" s="105">
        <f t="shared" si="33"/>
        <v>0</v>
      </c>
      <c r="G523" s="162"/>
      <c r="H523" s="148"/>
      <c r="I523" s="132" t="e">
        <f>VLOOKUP(H523,Presupuesto!$B$11:$C$565,2,0)</f>
        <v>#N/A</v>
      </c>
      <c r="J523" s="106" t="str">
        <f t="shared" si="34"/>
        <v>Desarrollo del Sistema de Educación Superior</v>
      </c>
      <c r="K523" s="124" t="s">
        <v>392</v>
      </c>
    </row>
    <row r="525" spans="3:11" ht="15.75" thickBot="1" x14ac:dyDescent="0.3">
      <c r="F525" s="90"/>
      <c r="G525" s="89"/>
      <c r="H525" s="90"/>
      <c r="I525" s="90"/>
    </row>
    <row r="526" spans="3:11" ht="15.75" thickBot="1" x14ac:dyDescent="0.3">
      <c r="C526" s="157" t="s">
        <v>53</v>
      </c>
      <c r="D526" s="372">
        <f>SUM(F533:F567)</f>
        <v>12925</v>
      </c>
      <c r="F526" s="70"/>
      <c r="G526" s="79"/>
      <c r="H526" s="70"/>
      <c r="I526" s="70"/>
    </row>
    <row r="527" spans="3:11" x14ac:dyDescent="0.25">
      <c r="C527" s="70"/>
      <c r="D527" s="31"/>
      <c r="E527" s="93"/>
      <c r="F527" s="93"/>
      <c r="G527" s="93"/>
      <c r="H527" s="76"/>
      <c r="I527" s="76"/>
      <c r="J527" s="76"/>
      <c r="K527" s="112"/>
    </row>
    <row r="528" spans="3:11" x14ac:dyDescent="0.25">
      <c r="C528" s="70"/>
      <c r="D528" s="31"/>
      <c r="E528" s="93"/>
      <c r="F528" s="93"/>
      <c r="G528" s="93"/>
      <c r="H528" s="76"/>
      <c r="I528" s="76"/>
      <c r="J528" s="76"/>
      <c r="K528" s="112"/>
    </row>
    <row r="529" spans="3:11" ht="15.75" x14ac:dyDescent="0.25">
      <c r="C529" s="202" t="s">
        <v>390</v>
      </c>
      <c r="D529" s="368" t="str">
        <f>'15. Gobernabilidad y Proceso...'!G26</f>
        <v>1.3.6</v>
      </c>
      <c r="E529" s="93"/>
      <c r="F529" s="93"/>
      <c r="G529" s="93"/>
      <c r="H529" s="76"/>
      <c r="I529" s="76"/>
      <c r="J529" s="76"/>
      <c r="K529" s="112"/>
    </row>
    <row r="530" spans="3:11" ht="18.75" x14ac:dyDescent="0.25">
      <c r="C530" s="210" t="str">
        <f>IFERROR(VLOOKUP(D529,'1. Desarrollo e Innov. Curricu.'!$F:$G,2,FALSE),IFERROR(VLOOKUP(D529,'2. Investigación Científica'!$F:$G,2,FALSE),IFERROR(VLOOKUP(D529,'3. Vinculación Univ. Sociedad'!$F:$G,2,FALSE),IFERROR(VLOOKUP(D529,'4. Docencia y Profesorado Univ.'!$F:$G,2,FALSE),IFERROR(VLOOKUP(D529,'5. Estudiantes y Graduados'!$F:$G,2,FALSE),IFERROR(VLOOKUP(D529,'11. Gestion Administrativa'!$F:$G,2,FALSE),IFERROR(VLOOKUP(D529,'13. Gestión Académica'!$F:$G,2,FALSE),IFERROR(VLOOKUP(D529,'9. Asegura. de la Calid. y M'!$F:$G,2,FALSE),IFERROR(VLOOKUP(D529,'6. Gestión del Conocimiento'!$F:$G,2,FALSE),IFERROR(VLOOKUP(D529,'15. Gobernabilidad y Proceso...'!$G:$H,2,FALSE),IFERROR(VLOOKUP(D529,'12. Gestión del Talento Humano'!$F:$G,2,FALSE),IFERROR(VLOOKUP(D529,'14. Internacional... de la E.S.'!$F:$G,2,FALSE),IFERROR(VLOOKUP(D529,'10. Posgrado'!$F:$G,2,FALSE),IFERROR(VLOOKUP(D529,'17. Gestión TIC'!$F:$G,2,FALSE),IFERROR(VLOOKUP(D529,'16. Desa. del Sistema Educ.Sup.'!$F:$G,2,FALSE),IFERROR(VLOOKUP(D529,'8. Cultura de Inno. Insti...'!$F:$G,2,FALSE),VLOOKUP(D529,'7. Lo Esencial de la Reforma U.'!$G:$H,2,0)))))))))))))))))</f>
        <v>Monitoreo de todas las gestiones  administrativas, control de inventarios de  las Delegaciones del Comisionado</v>
      </c>
      <c r="D530" s="31"/>
      <c r="E530" s="93"/>
      <c r="F530" s="93"/>
      <c r="G530" s="93"/>
      <c r="H530" s="76"/>
      <c r="I530" s="76"/>
      <c r="J530" s="76"/>
      <c r="K530" s="112"/>
    </row>
    <row r="531" spans="3:11" ht="15.75" thickBot="1" x14ac:dyDescent="0.3">
      <c r="F531" s="93"/>
      <c r="G531" s="76"/>
      <c r="H531" s="76"/>
      <c r="I531" s="76"/>
    </row>
    <row r="532" spans="3:11" ht="15.75" thickBot="1" x14ac:dyDescent="0.3">
      <c r="C532" s="129" t="s">
        <v>44</v>
      </c>
      <c r="D532" s="129" t="s">
        <v>55</v>
      </c>
      <c r="E532" s="136" t="s">
        <v>57</v>
      </c>
      <c r="F532" s="135" t="s">
        <v>27</v>
      </c>
      <c r="G532" s="133" t="s">
        <v>129</v>
      </c>
      <c r="H532" s="136" t="s">
        <v>46</v>
      </c>
      <c r="I532" s="133" t="s">
        <v>130</v>
      </c>
      <c r="J532" s="133" t="s">
        <v>408</v>
      </c>
      <c r="K532" s="133" t="s">
        <v>409</v>
      </c>
    </row>
    <row r="533" spans="3:11" ht="15.75" thickBot="1" x14ac:dyDescent="0.3">
      <c r="C533" s="220" t="s">
        <v>437</v>
      </c>
      <c r="D533" s="221"/>
      <c r="E533" s="219">
        <f>HLOOKUP(C533,$AH$2:$BU$3,2,0)</f>
        <v>620</v>
      </c>
      <c r="F533" s="97">
        <f t="shared" ref="F533:F567" si="35">D533*E533</f>
        <v>0</v>
      </c>
      <c r="G533" s="161"/>
      <c r="H533" s="142"/>
      <c r="I533" s="130" t="e">
        <f>VLOOKUP(H533,Presupuesto!$B$11:$C$565,2,0)</f>
        <v>#N/A</v>
      </c>
      <c r="J533" s="218" t="s">
        <v>1468</v>
      </c>
      <c r="K533" s="98" t="s">
        <v>392</v>
      </c>
    </row>
    <row r="534" spans="3:11" x14ac:dyDescent="0.25">
      <c r="C534" s="220" t="s">
        <v>434</v>
      </c>
      <c r="D534" s="221">
        <f>2.75</f>
        <v>2.75</v>
      </c>
      <c r="E534" s="219">
        <f>HLOOKUP(C534,$AH$2:$BU$3,2,0)</f>
        <v>1200</v>
      </c>
      <c r="F534" s="97">
        <f t="shared" si="35"/>
        <v>3300</v>
      </c>
      <c r="G534" s="161" t="s">
        <v>127</v>
      </c>
      <c r="H534" s="142" t="s">
        <v>759</v>
      </c>
      <c r="I534" s="130" t="str">
        <f>VLOOKUP(H534,Presupuesto!$B$11:$C$565,2,0)</f>
        <v>VIATICOS NACIONALES</v>
      </c>
      <c r="J534" s="218" t="s">
        <v>1366</v>
      </c>
      <c r="K534" s="98" t="s">
        <v>395</v>
      </c>
    </row>
    <row r="535" spans="3:11" x14ac:dyDescent="0.25">
      <c r="C535" s="220" t="s">
        <v>430</v>
      </c>
      <c r="D535" s="221">
        <f>2.75+2.75</f>
        <v>5.5</v>
      </c>
      <c r="E535" s="557">
        <f t="shared" ref="E535" si="36">HLOOKUP(C535,$AH$2:$BU$3,2,0)</f>
        <v>1750</v>
      </c>
      <c r="F535" s="97">
        <f t="shared" si="35"/>
        <v>9625</v>
      </c>
      <c r="G535" s="161" t="s">
        <v>127</v>
      </c>
      <c r="H535" s="142" t="s">
        <v>759</v>
      </c>
      <c r="I535" s="130" t="str">
        <f>VLOOKUP(H535,Presupuesto!$B$11:$C$565,2,0)</f>
        <v>VIATICOS NACIONALES</v>
      </c>
      <c r="J535" s="218" t="s">
        <v>1366</v>
      </c>
      <c r="K535" s="98" t="s">
        <v>395</v>
      </c>
    </row>
    <row r="536" spans="3:11" x14ac:dyDescent="0.25">
      <c r="C536" s="141"/>
      <c r="D536" s="158"/>
      <c r="E536" s="123"/>
      <c r="F536" s="97">
        <f t="shared" si="35"/>
        <v>0</v>
      </c>
      <c r="G536" s="161"/>
      <c r="H536" s="142"/>
      <c r="I536" s="130" t="e">
        <f>VLOOKUP(H536,Presupuesto!$B$11:$C$565,2,0)</f>
        <v>#N/A</v>
      </c>
      <c r="J536" s="98" t="str">
        <f t="shared" ref="J536:J567" si="37">$J$533</f>
        <v>Desarrollo del Sistema de Educación Superior</v>
      </c>
      <c r="K536" s="98" t="s">
        <v>410</v>
      </c>
    </row>
    <row r="537" spans="3:11" x14ac:dyDescent="0.25">
      <c r="C537" s="141"/>
      <c r="D537" s="158"/>
      <c r="E537" s="123"/>
      <c r="F537" s="97">
        <f t="shared" si="35"/>
        <v>0</v>
      </c>
      <c r="G537" s="161"/>
      <c r="H537" s="142"/>
      <c r="I537" s="130" t="e">
        <f>VLOOKUP(H537,Presupuesto!$B$11:$C$565,2,0)</f>
        <v>#N/A</v>
      </c>
      <c r="J537" s="98" t="str">
        <f t="shared" si="37"/>
        <v>Desarrollo del Sistema de Educación Superior</v>
      </c>
      <c r="K537" s="98" t="s">
        <v>410</v>
      </c>
    </row>
    <row r="538" spans="3:11" x14ac:dyDescent="0.25">
      <c r="C538" s="141"/>
      <c r="D538" s="158"/>
      <c r="E538" s="123"/>
      <c r="F538" s="97">
        <f t="shared" si="35"/>
        <v>0</v>
      </c>
      <c r="G538" s="161"/>
      <c r="H538" s="142"/>
      <c r="I538" s="130" t="e">
        <f>VLOOKUP(H538,Presupuesto!$B$11:$C$565,2,0)</f>
        <v>#N/A</v>
      </c>
      <c r="J538" s="98" t="str">
        <f t="shared" si="37"/>
        <v>Desarrollo del Sistema de Educación Superior</v>
      </c>
      <c r="K538" s="98" t="s">
        <v>399</v>
      </c>
    </row>
    <row r="539" spans="3:11" x14ac:dyDescent="0.25">
      <c r="C539" s="141"/>
      <c r="D539" s="158"/>
      <c r="E539" s="123"/>
      <c r="F539" s="97">
        <f t="shared" si="35"/>
        <v>0</v>
      </c>
      <c r="G539" s="161"/>
      <c r="H539" s="142"/>
      <c r="I539" s="130" t="e">
        <f>VLOOKUP(H539,Presupuesto!$B$11:$C$565,2,0)</f>
        <v>#N/A</v>
      </c>
      <c r="J539" s="98" t="str">
        <f t="shared" si="37"/>
        <v>Desarrollo del Sistema de Educación Superior</v>
      </c>
      <c r="K539" s="98" t="s">
        <v>410</v>
      </c>
    </row>
    <row r="540" spans="3:11" x14ac:dyDescent="0.25">
      <c r="C540" s="141"/>
      <c r="D540" s="158"/>
      <c r="E540" s="123"/>
      <c r="F540" s="97">
        <f t="shared" si="35"/>
        <v>0</v>
      </c>
      <c r="G540" s="161"/>
      <c r="H540" s="142"/>
      <c r="I540" s="130" t="e">
        <f>VLOOKUP(H540,Presupuesto!$B$11:$C$565,2,0)</f>
        <v>#N/A</v>
      </c>
      <c r="J540" s="98" t="str">
        <f t="shared" si="37"/>
        <v>Desarrollo del Sistema de Educación Superior</v>
      </c>
      <c r="K540" s="98" t="s">
        <v>410</v>
      </c>
    </row>
    <row r="541" spans="3:11" x14ac:dyDescent="0.25">
      <c r="C541" s="141"/>
      <c r="D541" s="158"/>
      <c r="E541" s="123"/>
      <c r="F541" s="97">
        <f t="shared" si="35"/>
        <v>0</v>
      </c>
      <c r="G541" s="161"/>
      <c r="H541" s="142"/>
      <c r="I541" s="130" t="e">
        <f>VLOOKUP(H541,Presupuesto!$B$11:$C$565,2,0)</f>
        <v>#N/A</v>
      </c>
      <c r="J541" s="98" t="str">
        <f t="shared" si="37"/>
        <v>Desarrollo del Sistema de Educación Superior</v>
      </c>
      <c r="K541" s="98" t="s">
        <v>410</v>
      </c>
    </row>
    <row r="542" spans="3:11" x14ac:dyDescent="0.25">
      <c r="C542" s="141"/>
      <c r="D542" s="158"/>
      <c r="E542" s="123"/>
      <c r="F542" s="97">
        <f t="shared" si="35"/>
        <v>0</v>
      </c>
      <c r="G542" s="161"/>
      <c r="H542" s="142"/>
      <c r="I542" s="130" t="e">
        <f>VLOOKUP(H542,Presupuesto!$B$11:$C$565,2,0)</f>
        <v>#N/A</v>
      </c>
      <c r="J542" s="98" t="str">
        <f t="shared" si="37"/>
        <v>Desarrollo del Sistema de Educación Superior</v>
      </c>
      <c r="K542" s="98" t="s">
        <v>410</v>
      </c>
    </row>
    <row r="543" spans="3:11" x14ac:dyDescent="0.25">
      <c r="C543" s="141"/>
      <c r="D543" s="158"/>
      <c r="E543" s="123"/>
      <c r="F543" s="97">
        <f t="shared" si="35"/>
        <v>0</v>
      </c>
      <c r="G543" s="161"/>
      <c r="H543" s="142"/>
      <c r="I543" s="130" t="e">
        <f>VLOOKUP(H543,Presupuesto!$B$11:$C$565,2,0)</f>
        <v>#N/A</v>
      </c>
      <c r="J543" s="98" t="str">
        <f t="shared" si="37"/>
        <v>Desarrollo del Sistema de Educación Superior</v>
      </c>
      <c r="K543" s="98" t="s">
        <v>410</v>
      </c>
    </row>
    <row r="544" spans="3:11" x14ac:dyDescent="0.25">
      <c r="C544" s="141"/>
      <c r="D544" s="158"/>
      <c r="E544" s="123"/>
      <c r="F544" s="97">
        <f t="shared" si="35"/>
        <v>0</v>
      </c>
      <c r="G544" s="161"/>
      <c r="H544" s="142"/>
      <c r="I544" s="130" t="e">
        <f>VLOOKUP(H544,Presupuesto!$B$11:$C$565,2,0)</f>
        <v>#N/A</v>
      </c>
      <c r="J544" s="98" t="str">
        <f t="shared" si="37"/>
        <v>Desarrollo del Sistema de Educación Superior</v>
      </c>
      <c r="K544" s="98" t="s">
        <v>410</v>
      </c>
    </row>
    <row r="545" spans="3:11" x14ac:dyDescent="0.25">
      <c r="C545" s="141"/>
      <c r="D545" s="158"/>
      <c r="E545" s="123"/>
      <c r="F545" s="97">
        <f t="shared" si="35"/>
        <v>0</v>
      </c>
      <c r="G545" s="161"/>
      <c r="H545" s="142"/>
      <c r="I545" s="130" t="e">
        <f>VLOOKUP(H545,Presupuesto!$B$11:$C$565,2,0)</f>
        <v>#N/A</v>
      </c>
      <c r="J545" s="98" t="str">
        <f t="shared" si="37"/>
        <v>Desarrollo del Sistema de Educación Superior</v>
      </c>
      <c r="K545" s="98" t="s">
        <v>410</v>
      </c>
    </row>
    <row r="546" spans="3:11" x14ac:dyDescent="0.25">
      <c r="C546" s="141"/>
      <c r="D546" s="158"/>
      <c r="E546" s="123"/>
      <c r="F546" s="97">
        <f t="shared" si="35"/>
        <v>0</v>
      </c>
      <c r="G546" s="161"/>
      <c r="H546" s="142"/>
      <c r="I546" s="130" t="e">
        <f>VLOOKUP(H546,Presupuesto!$B$11:$C$565,2,0)</f>
        <v>#N/A</v>
      </c>
      <c r="J546" s="98" t="str">
        <f t="shared" si="37"/>
        <v>Desarrollo del Sistema de Educación Superior</v>
      </c>
      <c r="K546" s="98" t="s">
        <v>410</v>
      </c>
    </row>
    <row r="547" spans="3:11" x14ac:dyDescent="0.25">
      <c r="C547" s="141"/>
      <c r="D547" s="158"/>
      <c r="E547" s="123"/>
      <c r="F547" s="97">
        <f t="shared" si="35"/>
        <v>0</v>
      </c>
      <c r="G547" s="161"/>
      <c r="H547" s="142"/>
      <c r="I547" s="130" t="e">
        <f>VLOOKUP(H547,Presupuesto!$B$11:$C$565,2,0)</f>
        <v>#N/A</v>
      </c>
      <c r="J547" s="98" t="str">
        <f t="shared" si="37"/>
        <v>Desarrollo del Sistema de Educación Superior</v>
      </c>
      <c r="K547" s="98" t="s">
        <v>410</v>
      </c>
    </row>
    <row r="548" spans="3:11" x14ac:dyDescent="0.25">
      <c r="C548" s="141"/>
      <c r="D548" s="158"/>
      <c r="E548" s="123"/>
      <c r="F548" s="97">
        <f t="shared" si="35"/>
        <v>0</v>
      </c>
      <c r="G548" s="161"/>
      <c r="H548" s="142"/>
      <c r="I548" s="130" t="e">
        <f>VLOOKUP(H548,Presupuesto!$B$11:$C$565,2,0)</f>
        <v>#N/A</v>
      </c>
      <c r="J548" s="98" t="str">
        <f t="shared" si="37"/>
        <v>Desarrollo del Sistema de Educación Superior</v>
      </c>
      <c r="K548" s="98" t="s">
        <v>410</v>
      </c>
    </row>
    <row r="549" spans="3:11" x14ac:dyDescent="0.25">
      <c r="C549" s="141"/>
      <c r="D549" s="158"/>
      <c r="E549" s="123"/>
      <c r="F549" s="97">
        <f t="shared" si="35"/>
        <v>0</v>
      </c>
      <c r="G549" s="161"/>
      <c r="H549" s="142"/>
      <c r="I549" s="130" t="e">
        <f>VLOOKUP(H549,Presupuesto!$B$11:$C$565,2,0)</f>
        <v>#N/A</v>
      </c>
      <c r="J549" s="98" t="str">
        <f t="shared" si="37"/>
        <v>Desarrollo del Sistema de Educación Superior</v>
      </c>
      <c r="K549" s="98" t="s">
        <v>410</v>
      </c>
    </row>
    <row r="550" spans="3:11" x14ac:dyDescent="0.25">
      <c r="C550" s="141"/>
      <c r="D550" s="158"/>
      <c r="E550" s="123"/>
      <c r="F550" s="97">
        <f t="shared" si="35"/>
        <v>0</v>
      </c>
      <c r="G550" s="161"/>
      <c r="H550" s="142"/>
      <c r="I550" s="130" t="e">
        <f>VLOOKUP(H550,Presupuesto!$B$11:$C$565,2,0)</f>
        <v>#N/A</v>
      </c>
      <c r="J550" s="98" t="str">
        <f t="shared" si="37"/>
        <v>Desarrollo del Sistema de Educación Superior</v>
      </c>
      <c r="K550" s="98" t="s">
        <v>410</v>
      </c>
    </row>
    <row r="551" spans="3:11" x14ac:dyDescent="0.25">
      <c r="C551" s="141"/>
      <c r="D551" s="158"/>
      <c r="E551" s="123"/>
      <c r="F551" s="97">
        <f t="shared" si="35"/>
        <v>0</v>
      </c>
      <c r="G551" s="161"/>
      <c r="H551" s="142"/>
      <c r="I551" s="130" t="e">
        <f>VLOOKUP(H551,Presupuesto!$B$11:$C$565,2,0)</f>
        <v>#N/A</v>
      </c>
      <c r="J551" s="98" t="str">
        <f t="shared" si="37"/>
        <v>Desarrollo del Sistema de Educación Superior</v>
      </c>
      <c r="K551" s="98" t="s">
        <v>410</v>
      </c>
    </row>
    <row r="552" spans="3:11" x14ac:dyDescent="0.25">
      <c r="C552" s="141"/>
      <c r="D552" s="158"/>
      <c r="E552" s="123"/>
      <c r="F552" s="97">
        <f t="shared" si="35"/>
        <v>0</v>
      </c>
      <c r="G552" s="161"/>
      <c r="H552" s="142"/>
      <c r="I552" s="130" t="e">
        <f>VLOOKUP(H552,Presupuesto!$B$11:$C$565,2,0)</f>
        <v>#N/A</v>
      </c>
      <c r="J552" s="98" t="str">
        <f t="shared" si="37"/>
        <v>Desarrollo del Sistema de Educación Superior</v>
      </c>
      <c r="K552" s="98" t="s">
        <v>410</v>
      </c>
    </row>
    <row r="553" spans="3:11" x14ac:dyDescent="0.25">
      <c r="C553" s="141"/>
      <c r="D553" s="158"/>
      <c r="E553" s="123"/>
      <c r="F553" s="97">
        <f t="shared" si="35"/>
        <v>0</v>
      </c>
      <c r="G553" s="161"/>
      <c r="H553" s="142"/>
      <c r="I553" s="130" t="e">
        <f>VLOOKUP(H553,Presupuesto!$B$11:$C$565,2,0)</f>
        <v>#N/A</v>
      </c>
      <c r="J553" s="98" t="str">
        <f t="shared" si="37"/>
        <v>Desarrollo del Sistema de Educación Superior</v>
      </c>
      <c r="K553" s="98" t="s">
        <v>410</v>
      </c>
    </row>
    <row r="554" spans="3:11" x14ac:dyDescent="0.25">
      <c r="C554" s="141"/>
      <c r="D554" s="158"/>
      <c r="E554" s="123"/>
      <c r="F554" s="97">
        <f t="shared" si="35"/>
        <v>0</v>
      </c>
      <c r="G554" s="161"/>
      <c r="H554" s="142"/>
      <c r="I554" s="130" t="e">
        <f>VLOOKUP(H554,Presupuesto!$B$11:$C$565,2,0)</f>
        <v>#N/A</v>
      </c>
      <c r="J554" s="98" t="str">
        <f t="shared" si="37"/>
        <v>Desarrollo del Sistema de Educación Superior</v>
      </c>
      <c r="K554" s="98" t="s">
        <v>410</v>
      </c>
    </row>
    <row r="555" spans="3:11" x14ac:dyDescent="0.25">
      <c r="C555" s="143"/>
      <c r="D555" s="151"/>
      <c r="E555" s="118"/>
      <c r="F555" s="97">
        <f t="shared" si="35"/>
        <v>0</v>
      </c>
      <c r="G555" s="161"/>
      <c r="H555" s="144"/>
      <c r="I555" s="130" t="e">
        <f>VLOOKUP(H555,Presupuesto!$B$11:$C$565,2,0)</f>
        <v>#N/A</v>
      </c>
      <c r="J555" s="98" t="str">
        <f t="shared" si="37"/>
        <v>Desarrollo del Sistema de Educación Superior</v>
      </c>
      <c r="K555" s="98" t="s">
        <v>410</v>
      </c>
    </row>
    <row r="556" spans="3:11" x14ac:dyDescent="0.25">
      <c r="C556" s="143"/>
      <c r="D556" s="151"/>
      <c r="E556" s="118"/>
      <c r="F556" s="97">
        <f t="shared" si="35"/>
        <v>0</v>
      </c>
      <c r="G556" s="161"/>
      <c r="H556" s="144"/>
      <c r="I556" s="130" t="e">
        <f>VLOOKUP(H556,Presupuesto!$B$11:$C$565,2,0)</f>
        <v>#N/A</v>
      </c>
      <c r="J556" s="98" t="str">
        <f t="shared" si="37"/>
        <v>Desarrollo del Sistema de Educación Superior</v>
      </c>
      <c r="K556" s="98" t="s">
        <v>410</v>
      </c>
    </row>
    <row r="557" spans="3:11" x14ac:dyDescent="0.25">
      <c r="C557" s="143"/>
      <c r="D557" s="151"/>
      <c r="E557" s="118"/>
      <c r="F557" s="97">
        <f t="shared" si="35"/>
        <v>0</v>
      </c>
      <c r="G557" s="161"/>
      <c r="H557" s="144"/>
      <c r="I557" s="130" t="e">
        <f>VLOOKUP(H557,Presupuesto!$B$11:$C$565,2,0)</f>
        <v>#N/A</v>
      </c>
      <c r="J557" s="98" t="str">
        <f t="shared" si="37"/>
        <v>Desarrollo del Sistema de Educación Superior</v>
      </c>
      <c r="K557" s="98" t="s">
        <v>410</v>
      </c>
    </row>
    <row r="558" spans="3:11" x14ac:dyDescent="0.25">
      <c r="C558" s="143"/>
      <c r="D558" s="151"/>
      <c r="E558" s="118"/>
      <c r="F558" s="97">
        <f t="shared" si="35"/>
        <v>0</v>
      </c>
      <c r="G558" s="161"/>
      <c r="H558" s="144"/>
      <c r="I558" s="130" t="e">
        <f>VLOOKUP(H558,Presupuesto!$B$11:$C$565,2,0)</f>
        <v>#N/A</v>
      </c>
      <c r="J558" s="98" t="str">
        <f t="shared" si="37"/>
        <v>Desarrollo del Sistema de Educación Superior</v>
      </c>
      <c r="K558" s="98" t="s">
        <v>410</v>
      </c>
    </row>
    <row r="559" spans="3:11" x14ac:dyDescent="0.25">
      <c r="C559" s="143"/>
      <c r="D559" s="151"/>
      <c r="E559" s="118"/>
      <c r="F559" s="97">
        <f t="shared" si="35"/>
        <v>0</v>
      </c>
      <c r="G559" s="161"/>
      <c r="H559" s="144"/>
      <c r="I559" s="130" t="e">
        <f>VLOOKUP(H559,Presupuesto!$B$11:$C$565,2,0)</f>
        <v>#N/A</v>
      </c>
      <c r="J559" s="98" t="str">
        <f t="shared" si="37"/>
        <v>Desarrollo del Sistema de Educación Superior</v>
      </c>
      <c r="K559" s="98" t="s">
        <v>410</v>
      </c>
    </row>
    <row r="560" spans="3:11" x14ac:dyDescent="0.25">
      <c r="C560" s="143"/>
      <c r="D560" s="151"/>
      <c r="E560" s="118"/>
      <c r="F560" s="97">
        <f t="shared" si="35"/>
        <v>0</v>
      </c>
      <c r="G560" s="161"/>
      <c r="H560" s="144"/>
      <c r="I560" s="130" t="e">
        <f>VLOOKUP(H560,Presupuesto!$B$11:$C$565,2,0)</f>
        <v>#N/A</v>
      </c>
      <c r="J560" s="98" t="str">
        <f t="shared" si="37"/>
        <v>Desarrollo del Sistema de Educación Superior</v>
      </c>
      <c r="K560" s="98" t="s">
        <v>410</v>
      </c>
    </row>
    <row r="561" spans="3:11" x14ac:dyDescent="0.25">
      <c r="C561" s="143"/>
      <c r="D561" s="151"/>
      <c r="E561" s="118"/>
      <c r="F561" s="97">
        <f t="shared" si="35"/>
        <v>0</v>
      </c>
      <c r="G561" s="161"/>
      <c r="H561" s="144"/>
      <c r="I561" s="130" t="e">
        <f>VLOOKUP(H561,Presupuesto!$B$11:$C$565,2,0)</f>
        <v>#N/A</v>
      </c>
      <c r="J561" s="98" t="str">
        <f t="shared" si="37"/>
        <v>Desarrollo del Sistema de Educación Superior</v>
      </c>
      <c r="K561" s="98" t="s">
        <v>410</v>
      </c>
    </row>
    <row r="562" spans="3:11" x14ac:dyDescent="0.25">
      <c r="C562" s="143"/>
      <c r="D562" s="151"/>
      <c r="E562" s="118"/>
      <c r="F562" s="97">
        <f t="shared" si="35"/>
        <v>0</v>
      </c>
      <c r="G562" s="161"/>
      <c r="H562" s="144"/>
      <c r="I562" s="130" t="e">
        <f>VLOOKUP(H562,Presupuesto!$B$11:$C$565,2,0)</f>
        <v>#N/A</v>
      </c>
      <c r="J562" s="98" t="str">
        <f t="shared" si="37"/>
        <v>Desarrollo del Sistema de Educación Superior</v>
      </c>
      <c r="K562" s="98" t="s">
        <v>410</v>
      </c>
    </row>
    <row r="563" spans="3:11" x14ac:dyDescent="0.25">
      <c r="C563" s="145"/>
      <c r="D563" s="151"/>
      <c r="E563" s="118"/>
      <c r="F563" s="97">
        <f t="shared" si="35"/>
        <v>0</v>
      </c>
      <c r="G563" s="161"/>
      <c r="H563" s="146"/>
      <c r="I563" s="130" t="e">
        <f>VLOOKUP(H563,Presupuesto!$B$11:$C$565,2,0)</f>
        <v>#N/A</v>
      </c>
      <c r="J563" s="98" t="str">
        <f t="shared" si="37"/>
        <v>Desarrollo del Sistema de Educación Superior</v>
      </c>
      <c r="K563" s="98" t="s">
        <v>401</v>
      </c>
    </row>
    <row r="564" spans="3:11" x14ac:dyDescent="0.25">
      <c r="C564" s="145"/>
      <c r="D564" s="151"/>
      <c r="E564" s="118"/>
      <c r="F564" s="97">
        <f t="shared" si="35"/>
        <v>0</v>
      </c>
      <c r="G564" s="161"/>
      <c r="H564" s="146"/>
      <c r="I564" s="130" t="e">
        <f>VLOOKUP(H564,Presupuesto!$B$11:$C$565,2,0)</f>
        <v>#N/A</v>
      </c>
      <c r="J564" s="98" t="str">
        <f t="shared" si="37"/>
        <v>Desarrollo del Sistema de Educación Superior</v>
      </c>
      <c r="K564" s="98" t="s">
        <v>410</v>
      </c>
    </row>
    <row r="565" spans="3:11" x14ac:dyDescent="0.25">
      <c r="C565" s="145"/>
      <c r="D565" s="151"/>
      <c r="E565" s="118"/>
      <c r="F565" s="97">
        <f t="shared" si="35"/>
        <v>0</v>
      </c>
      <c r="G565" s="161"/>
      <c r="H565" s="146"/>
      <c r="I565" s="130" t="e">
        <f>VLOOKUP(H565,Presupuesto!$B$11:$C$565,2,0)</f>
        <v>#N/A</v>
      </c>
      <c r="J565" s="98" t="str">
        <f t="shared" si="37"/>
        <v>Desarrollo del Sistema de Educación Superior</v>
      </c>
      <c r="K565" s="98" t="s">
        <v>410</v>
      </c>
    </row>
    <row r="566" spans="3:11" x14ac:dyDescent="0.25">
      <c r="C566" s="145"/>
      <c r="D566" s="151"/>
      <c r="E566" s="118"/>
      <c r="F566" s="97">
        <f t="shared" si="35"/>
        <v>0</v>
      </c>
      <c r="G566" s="161"/>
      <c r="H566" s="146"/>
      <c r="I566" s="130" t="e">
        <f>VLOOKUP(H566,Presupuesto!$B$11:$C$565,2,0)</f>
        <v>#N/A</v>
      </c>
      <c r="J566" s="98" t="str">
        <f t="shared" si="37"/>
        <v>Desarrollo del Sistema de Educación Superior</v>
      </c>
      <c r="K566" s="98" t="s">
        <v>410</v>
      </c>
    </row>
    <row r="567" spans="3:11" ht="15.75" thickBot="1" x14ac:dyDescent="0.3">
      <c r="C567" s="147"/>
      <c r="D567" s="159"/>
      <c r="E567" s="103"/>
      <c r="F567" s="105">
        <f t="shared" si="35"/>
        <v>0</v>
      </c>
      <c r="G567" s="162"/>
      <c r="H567" s="148"/>
      <c r="I567" s="132" t="e">
        <f>VLOOKUP(H567,Presupuesto!$B$11:$C$565,2,0)</f>
        <v>#N/A</v>
      </c>
      <c r="J567" s="106" t="str">
        <f t="shared" si="37"/>
        <v>Desarrollo del Sistema de Educación Superior</v>
      </c>
      <c r="K567" s="124" t="s">
        <v>392</v>
      </c>
    </row>
    <row r="569" spans="3:11" ht="15.75" thickBot="1" x14ac:dyDescent="0.3"/>
    <row r="570" spans="3:11" ht="15.75" thickBot="1" x14ac:dyDescent="0.3">
      <c r="C570" s="157" t="s">
        <v>53</v>
      </c>
      <c r="D570" s="372">
        <f>SUM(F577:F611)</f>
        <v>56675.322249999997</v>
      </c>
      <c r="F570" s="70"/>
      <c r="G570" s="79"/>
      <c r="H570" s="70"/>
      <c r="I570" s="70"/>
    </row>
    <row r="571" spans="3:11" x14ac:dyDescent="0.25">
      <c r="C571" s="70"/>
      <c r="D571" s="31"/>
      <c r="E571" s="93"/>
      <c r="F571" s="93"/>
      <c r="G571" s="93"/>
      <c r="H571" s="76"/>
      <c r="I571" s="76"/>
      <c r="J571" s="76"/>
      <c r="K571" s="112"/>
    </row>
    <row r="572" spans="3:11" x14ac:dyDescent="0.25">
      <c r="C572" s="70"/>
      <c r="D572" s="31"/>
      <c r="E572" s="93"/>
      <c r="F572" s="93"/>
      <c r="G572" s="93"/>
      <c r="H572" s="76"/>
      <c r="I572" s="76"/>
      <c r="J572" s="76"/>
      <c r="K572" s="112"/>
    </row>
    <row r="573" spans="3:11" ht="15.75" x14ac:dyDescent="0.25">
      <c r="C573" s="202" t="s">
        <v>390</v>
      </c>
      <c r="D573" s="368" t="str">
        <f>'15. Gobernabilidad y Proceso...'!G19</f>
        <v>1.2.3</v>
      </c>
      <c r="E573" s="93"/>
      <c r="F573" s="93"/>
      <c r="G573" s="93"/>
      <c r="H573" s="76"/>
      <c r="I573" s="76"/>
      <c r="J573" s="76"/>
      <c r="K573" s="112"/>
    </row>
    <row r="574" spans="3:11" ht="18.75" x14ac:dyDescent="0.25">
      <c r="C574" s="210" t="str">
        <f>IFERROR(VLOOKUP(D573,'1. Desarrollo e Innov. Curricu.'!$F:$G,2,FALSE),IFERROR(VLOOKUP(D573,'2. Investigación Científica'!$F:$G,2,FALSE),IFERROR(VLOOKUP(D573,'3. Vinculación Univ. Sociedad'!$F:$G,2,FALSE),IFERROR(VLOOKUP(D573,'4. Docencia y Profesorado Univ.'!$F:$G,2,FALSE),IFERROR(VLOOKUP(D573,'5. Estudiantes y Graduados'!$F:$G,2,FALSE),IFERROR(VLOOKUP(D573,'11. Gestion Administrativa'!$F:$G,2,FALSE),IFERROR(VLOOKUP(D573,'13. Gestión Académica'!$F:$G,2,FALSE),IFERROR(VLOOKUP(D573,'9. Asegura. de la Calid. y M'!$F:$G,2,FALSE),IFERROR(VLOOKUP(D573,'6. Gestión del Conocimiento'!$F:$G,2,FALSE),IFERROR(VLOOKUP(D573,'15. Gobernabilidad y Proceso...'!$G:$H,2,FALSE),IFERROR(VLOOKUP(D573,'12. Gestión del Talento Humano'!$F:$G,2,FALSE),IFERROR(VLOOKUP(D573,'14. Internacional... de la E.S.'!$F:$G,2,FALSE),IFERROR(VLOOKUP(D573,'10. Posgrado'!$F:$G,2,FALSE),IFERROR(VLOOKUP(D573,'17. Gestión TIC'!$F:$G,2,FALSE),IFERROR(VLOOKUP(D573,'16. Desa. del Sistema Educ.Sup.'!$F:$G,2,FALSE),IFERROR(VLOOKUP(D573,'8. Cultura de Inno. Insti...'!$F:$G,2,FALSE),VLOOKUP(D573,'7. Lo Esencial de la Reforma U.'!$G:$H,2,0)))))))))))))))))</f>
        <v>Intercambio de experiencias con la Universidad de Costa Rica especificamente en el area que atiende el Hostigamiento Sexual.</v>
      </c>
      <c r="D574" s="31"/>
      <c r="E574" s="93"/>
      <c r="F574" s="93"/>
      <c r="G574" s="93"/>
      <c r="H574" s="76"/>
      <c r="I574" s="76"/>
      <c r="J574" s="76"/>
      <c r="K574" s="112"/>
    </row>
    <row r="575" spans="3:11" ht="15.75" thickBot="1" x14ac:dyDescent="0.3">
      <c r="F575" s="93"/>
      <c r="G575" s="76"/>
      <c r="H575" s="76"/>
      <c r="I575" s="76"/>
    </row>
    <row r="576" spans="3:11" ht="15.75" thickBot="1" x14ac:dyDescent="0.3">
      <c r="C576" s="129" t="s">
        <v>44</v>
      </c>
      <c r="D576" s="129" t="s">
        <v>55</v>
      </c>
      <c r="E576" s="136" t="s">
        <v>57</v>
      </c>
      <c r="F576" s="135" t="s">
        <v>27</v>
      </c>
      <c r="G576" s="133" t="s">
        <v>129</v>
      </c>
      <c r="H576" s="136" t="s">
        <v>46</v>
      </c>
      <c r="I576" s="133" t="s">
        <v>130</v>
      </c>
      <c r="J576" s="133" t="s">
        <v>408</v>
      </c>
      <c r="K576" s="133" t="s">
        <v>409</v>
      </c>
    </row>
    <row r="577" spans="3:11" ht="15.75" thickBot="1" x14ac:dyDescent="0.3">
      <c r="C577" s="220" t="s">
        <v>437</v>
      </c>
      <c r="D577" s="221"/>
      <c r="E577" s="219">
        <f>HLOOKUP(C577,$AH$2:$BU$3,2,0)</f>
        <v>620</v>
      </c>
      <c r="F577" s="97">
        <f t="shared" ref="F577:F611" si="38">D577*E577</f>
        <v>0</v>
      </c>
      <c r="G577" s="161"/>
      <c r="H577" s="142"/>
      <c r="I577" s="130" t="e">
        <f>VLOOKUP(H577,Presupuesto!$B$11:$C$565,2,0)</f>
        <v>#N/A</v>
      </c>
      <c r="J577" s="218" t="s">
        <v>1468</v>
      </c>
      <c r="K577" s="98" t="s">
        <v>392</v>
      </c>
    </row>
    <row r="578" spans="3:11" x14ac:dyDescent="0.25">
      <c r="C578" s="574" t="s">
        <v>438</v>
      </c>
      <c r="D578" s="575">
        <v>5.5</v>
      </c>
      <c r="E578" s="219">
        <f>HLOOKUP(C578,$AH$2:$BU$3,2,0)</f>
        <v>5759.1495000000004</v>
      </c>
      <c r="F578" s="97">
        <f t="shared" si="38"/>
        <v>31675.322250000001</v>
      </c>
      <c r="G578" s="161" t="s">
        <v>1675</v>
      </c>
      <c r="H578" s="142" t="s">
        <v>765</v>
      </c>
      <c r="I578" s="130" t="str">
        <f>VLOOKUP(H578,[1]Presupuesto!$B$11:$C$565,2,0)</f>
        <v>VIATICOS AL EXTERIOR</v>
      </c>
      <c r="J578" s="218" t="s">
        <v>1366</v>
      </c>
      <c r="K578" s="98" t="s">
        <v>396</v>
      </c>
    </row>
    <row r="579" spans="3:11" x14ac:dyDescent="0.25">
      <c r="C579" s="141" t="s">
        <v>1909</v>
      </c>
      <c r="D579" s="158">
        <v>1</v>
      </c>
      <c r="E579" s="123">
        <v>25000</v>
      </c>
      <c r="F579" s="97">
        <f t="shared" si="38"/>
        <v>25000</v>
      </c>
      <c r="G579" s="161" t="s">
        <v>1675</v>
      </c>
      <c r="H579" s="142" t="s">
        <v>753</v>
      </c>
      <c r="I579" s="130" t="str">
        <f>VLOOKUP(H579,Presupuesto!$B$11:$C$565,2,0)</f>
        <v>PASAJES AL EXTERIOR</v>
      </c>
      <c r="J579" s="218" t="s">
        <v>1366</v>
      </c>
      <c r="K579" s="98" t="s">
        <v>396</v>
      </c>
    </row>
    <row r="580" spans="3:11" x14ac:dyDescent="0.25">
      <c r="C580" s="141"/>
      <c r="D580" s="158"/>
      <c r="E580" s="123"/>
      <c r="F580" s="97">
        <f t="shared" si="38"/>
        <v>0</v>
      </c>
      <c r="G580" s="161"/>
      <c r="H580" s="142"/>
      <c r="I580" s="130" t="e">
        <f>VLOOKUP(H580,Presupuesto!$B$11:$C$565,2,0)</f>
        <v>#N/A</v>
      </c>
      <c r="J580" s="218" t="s">
        <v>1366</v>
      </c>
      <c r="K580" s="98" t="s">
        <v>410</v>
      </c>
    </row>
    <row r="581" spans="3:11" x14ac:dyDescent="0.25">
      <c r="C581" s="141"/>
      <c r="D581" s="158"/>
      <c r="E581" s="123"/>
      <c r="F581" s="97">
        <f t="shared" si="38"/>
        <v>0</v>
      </c>
      <c r="G581" s="161"/>
      <c r="H581" s="142"/>
      <c r="I581" s="130" t="e">
        <f>VLOOKUP(H581,Presupuesto!$B$11:$C$565,2,0)</f>
        <v>#N/A</v>
      </c>
      <c r="J581" s="218" t="s">
        <v>1366</v>
      </c>
      <c r="K581" s="98" t="s">
        <v>410</v>
      </c>
    </row>
    <row r="582" spans="3:11" x14ac:dyDescent="0.25">
      <c r="C582" s="141"/>
      <c r="D582" s="158"/>
      <c r="E582" s="123"/>
      <c r="F582" s="97">
        <f t="shared" si="38"/>
        <v>0</v>
      </c>
      <c r="G582" s="161"/>
      <c r="H582" s="142"/>
      <c r="I582" s="130" t="e">
        <f>VLOOKUP(H582,Presupuesto!$B$11:$C$565,2,0)</f>
        <v>#N/A</v>
      </c>
      <c r="J582" s="218" t="s">
        <v>1366</v>
      </c>
      <c r="K582" s="98" t="s">
        <v>399</v>
      </c>
    </row>
    <row r="583" spans="3:11" x14ac:dyDescent="0.25">
      <c r="C583" s="141"/>
      <c r="D583" s="158"/>
      <c r="E583" s="123"/>
      <c r="F583" s="97">
        <f t="shared" si="38"/>
        <v>0</v>
      </c>
      <c r="G583" s="161"/>
      <c r="H583" s="142"/>
      <c r="I583" s="130" t="e">
        <f>VLOOKUP(H583,Presupuesto!$B$11:$C$565,2,0)</f>
        <v>#N/A</v>
      </c>
      <c r="J583" s="218" t="s">
        <v>1366</v>
      </c>
      <c r="K583" s="98" t="s">
        <v>410</v>
      </c>
    </row>
    <row r="584" spans="3:11" x14ac:dyDescent="0.25">
      <c r="C584" s="141"/>
      <c r="D584" s="158"/>
      <c r="E584" s="123"/>
      <c r="F584" s="97">
        <f t="shared" si="38"/>
        <v>0</v>
      </c>
      <c r="G584" s="161"/>
      <c r="H584" s="142"/>
      <c r="I584" s="130" t="e">
        <f>VLOOKUP(H584,Presupuesto!$B$11:$C$565,2,0)</f>
        <v>#N/A</v>
      </c>
      <c r="J584" s="218" t="s">
        <v>1366</v>
      </c>
      <c r="K584" s="98" t="s">
        <v>410</v>
      </c>
    </row>
    <row r="585" spans="3:11" x14ac:dyDescent="0.25">
      <c r="C585" s="141"/>
      <c r="D585" s="158"/>
      <c r="E585" s="123"/>
      <c r="F585" s="97">
        <f t="shared" si="38"/>
        <v>0</v>
      </c>
      <c r="G585" s="161"/>
      <c r="H585" s="142"/>
      <c r="I585" s="130" t="e">
        <f>VLOOKUP(H585,Presupuesto!$B$11:$C$565,2,0)</f>
        <v>#N/A</v>
      </c>
      <c r="J585" s="218" t="s">
        <v>1366</v>
      </c>
      <c r="K585" s="98" t="s">
        <v>410</v>
      </c>
    </row>
    <row r="586" spans="3:11" x14ac:dyDescent="0.25">
      <c r="C586" s="141"/>
      <c r="D586" s="158"/>
      <c r="E586" s="123"/>
      <c r="F586" s="97">
        <f t="shared" si="38"/>
        <v>0</v>
      </c>
      <c r="G586" s="161"/>
      <c r="H586" s="142"/>
      <c r="I586" s="130" t="e">
        <f>VLOOKUP(H586,Presupuesto!$B$11:$C$565,2,0)</f>
        <v>#N/A</v>
      </c>
      <c r="J586" s="218" t="s">
        <v>1366</v>
      </c>
      <c r="K586" s="98" t="s">
        <v>410</v>
      </c>
    </row>
    <row r="587" spans="3:11" x14ac:dyDescent="0.25">
      <c r="C587" s="141"/>
      <c r="D587" s="158"/>
      <c r="E587" s="123"/>
      <c r="F587" s="97">
        <f t="shared" si="38"/>
        <v>0</v>
      </c>
      <c r="G587" s="161"/>
      <c r="H587" s="142"/>
      <c r="I587" s="130" t="e">
        <f>VLOOKUP(H587,Presupuesto!$B$11:$C$565,2,0)</f>
        <v>#N/A</v>
      </c>
      <c r="J587" s="218" t="s">
        <v>1366</v>
      </c>
      <c r="K587" s="98" t="s">
        <v>410</v>
      </c>
    </row>
    <row r="588" spans="3:11" x14ac:dyDescent="0.25">
      <c r="C588" s="141"/>
      <c r="D588" s="158"/>
      <c r="E588" s="123"/>
      <c r="F588" s="97">
        <f t="shared" si="38"/>
        <v>0</v>
      </c>
      <c r="G588" s="161"/>
      <c r="H588" s="142"/>
      <c r="I588" s="130" t="e">
        <f>VLOOKUP(H588,Presupuesto!$B$11:$C$565,2,0)</f>
        <v>#N/A</v>
      </c>
      <c r="J588" s="218" t="s">
        <v>1366</v>
      </c>
      <c r="K588" s="98" t="s">
        <v>410</v>
      </c>
    </row>
    <row r="589" spans="3:11" x14ac:dyDescent="0.25">
      <c r="C589" s="141"/>
      <c r="D589" s="158"/>
      <c r="E589" s="123"/>
      <c r="F589" s="97">
        <f t="shared" si="38"/>
        <v>0</v>
      </c>
      <c r="G589" s="161"/>
      <c r="H589" s="142"/>
      <c r="I589" s="130" t="e">
        <f>VLOOKUP(H589,Presupuesto!$B$11:$C$565,2,0)</f>
        <v>#N/A</v>
      </c>
      <c r="J589" s="218" t="s">
        <v>1366</v>
      </c>
      <c r="K589" s="98" t="s">
        <v>410</v>
      </c>
    </row>
    <row r="590" spans="3:11" x14ac:dyDescent="0.25">
      <c r="C590" s="141"/>
      <c r="D590" s="158"/>
      <c r="E590" s="123"/>
      <c r="F590" s="97">
        <f t="shared" si="38"/>
        <v>0</v>
      </c>
      <c r="G590" s="161"/>
      <c r="H590" s="142"/>
      <c r="I590" s="130" t="e">
        <f>VLOOKUP(H590,Presupuesto!$B$11:$C$565,2,0)</f>
        <v>#N/A</v>
      </c>
      <c r="J590" s="218" t="s">
        <v>1366</v>
      </c>
      <c r="K590" s="98" t="s">
        <v>410</v>
      </c>
    </row>
    <row r="591" spans="3:11" x14ac:dyDescent="0.25">
      <c r="C591" s="141"/>
      <c r="D591" s="158"/>
      <c r="E591" s="123"/>
      <c r="F591" s="97">
        <f t="shared" si="38"/>
        <v>0</v>
      </c>
      <c r="G591" s="161"/>
      <c r="H591" s="142"/>
      <c r="I591" s="130" t="e">
        <f>VLOOKUP(H591,Presupuesto!$B$11:$C$565,2,0)</f>
        <v>#N/A</v>
      </c>
      <c r="J591" s="218" t="s">
        <v>1366</v>
      </c>
      <c r="K591" s="98" t="s">
        <v>410</v>
      </c>
    </row>
    <row r="592" spans="3:11" x14ac:dyDescent="0.25">
      <c r="C592" s="141"/>
      <c r="D592" s="158"/>
      <c r="E592" s="123"/>
      <c r="F592" s="97">
        <f t="shared" si="38"/>
        <v>0</v>
      </c>
      <c r="G592" s="161"/>
      <c r="H592" s="142"/>
      <c r="I592" s="130" t="e">
        <f>VLOOKUP(H592,Presupuesto!$B$11:$C$565,2,0)</f>
        <v>#N/A</v>
      </c>
      <c r="J592" s="218" t="s">
        <v>1366</v>
      </c>
      <c r="K592" s="98" t="s">
        <v>410</v>
      </c>
    </row>
    <row r="593" spans="3:11" x14ac:dyDescent="0.25">
      <c r="C593" s="141"/>
      <c r="D593" s="158"/>
      <c r="E593" s="123"/>
      <c r="F593" s="97">
        <f t="shared" si="38"/>
        <v>0</v>
      </c>
      <c r="G593" s="161"/>
      <c r="H593" s="142"/>
      <c r="I593" s="130" t="e">
        <f>VLOOKUP(H593,Presupuesto!$B$11:$C$565,2,0)</f>
        <v>#N/A</v>
      </c>
      <c r="J593" s="218" t="s">
        <v>1366</v>
      </c>
      <c r="K593" s="98" t="s">
        <v>410</v>
      </c>
    </row>
    <row r="594" spans="3:11" x14ac:dyDescent="0.25">
      <c r="C594" s="141"/>
      <c r="D594" s="158"/>
      <c r="E594" s="123"/>
      <c r="F594" s="97">
        <f t="shared" si="38"/>
        <v>0</v>
      </c>
      <c r="G594" s="161"/>
      <c r="H594" s="142"/>
      <c r="I594" s="130" t="e">
        <f>VLOOKUP(H594,Presupuesto!$B$11:$C$565,2,0)</f>
        <v>#N/A</v>
      </c>
      <c r="J594" s="218" t="s">
        <v>1366</v>
      </c>
      <c r="K594" s="98" t="s">
        <v>410</v>
      </c>
    </row>
    <row r="595" spans="3:11" x14ac:dyDescent="0.25">
      <c r="C595" s="141"/>
      <c r="D595" s="158"/>
      <c r="E595" s="123"/>
      <c r="F595" s="97">
        <f t="shared" si="38"/>
        <v>0</v>
      </c>
      <c r="G595" s="161"/>
      <c r="H595" s="142"/>
      <c r="I595" s="130" t="e">
        <f>VLOOKUP(H595,Presupuesto!$B$11:$C$565,2,0)</f>
        <v>#N/A</v>
      </c>
      <c r="J595" s="218" t="s">
        <v>1366</v>
      </c>
      <c r="K595" s="98" t="s">
        <v>410</v>
      </c>
    </row>
    <row r="596" spans="3:11" x14ac:dyDescent="0.25">
      <c r="C596" s="141"/>
      <c r="D596" s="158"/>
      <c r="E596" s="123"/>
      <c r="F596" s="97">
        <f t="shared" si="38"/>
        <v>0</v>
      </c>
      <c r="G596" s="161"/>
      <c r="H596" s="142"/>
      <c r="I596" s="130" t="e">
        <f>VLOOKUP(H596,Presupuesto!$B$11:$C$565,2,0)</f>
        <v>#N/A</v>
      </c>
      <c r="J596" s="218" t="s">
        <v>1366</v>
      </c>
      <c r="K596" s="98" t="s">
        <v>410</v>
      </c>
    </row>
    <row r="597" spans="3:11" x14ac:dyDescent="0.25">
      <c r="C597" s="141"/>
      <c r="D597" s="158"/>
      <c r="E597" s="123"/>
      <c r="F597" s="97">
        <f t="shared" si="38"/>
        <v>0</v>
      </c>
      <c r="G597" s="161"/>
      <c r="H597" s="142"/>
      <c r="I597" s="130" t="e">
        <f>VLOOKUP(H597,Presupuesto!$B$11:$C$565,2,0)</f>
        <v>#N/A</v>
      </c>
      <c r="J597" s="218" t="s">
        <v>1366</v>
      </c>
      <c r="K597" s="98" t="s">
        <v>410</v>
      </c>
    </row>
    <row r="598" spans="3:11" x14ac:dyDescent="0.25">
      <c r="C598" s="141"/>
      <c r="D598" s="158"/>
      <c r="E598" s="123"/>
      <c r="F598" s="97">
        <f t="shared" si="38"/>
        <v>0</v>
      </c>
      <c r="G598" s="161"/>
      <c r="H598" s="142"/>
      <c r="I598" s="130" t="e">
        <f>VLOOKUP(H598,Presupuesto!$B$11:$C$565,2,0)</f>
        <v>#N/A</v>
      </c>
      <c r="J598" s="218" t="s">
        <v>1366</v>
      </c>
      <c r="K598" s="98" t="s">
        <v>410</v>
      </c>
    </row>
    <row r="599" spans="3:11" x14ac:dyDescent="0.25">
      <c r="C599" s="143"/>
      <c r="D599" s="151"/>
      <c r="E599" s="118"/>
      <c r="F599" s="97">
        <f t="shared" si="38"/>
        <v>0</v>
      </c>
      <c r="G599" s="161"/>
      <c r="H599" s="144"/>
      <c r="I599" s="130" t="e">
        <f>VLOOKUP(H599,Presupuesto!$B$11:$C$565,2,0)</f>
        <v>#N/A</v>
      </c>
      <c r="J599" s="218" t="s">
        <v>1366</v>
      </c>
      <c r="K599" s="98" t="s">
        <v>410</v>
      </c>
    </row>
    <row r="600" spans="3:11" x14ac:dyDescent="0.25">
      <c r="C600" s="143"/>
      <c r="D600" s="151"/>
      <c r="E600" s="118"/>
      <c r="F600" s="97">
        <f t="shared" si="38"/>
        <v>0</v>
      </c>
      <c r="G600" s="161"/>
      <c r="H600" s="144"/>
      <c r="I600" s="130" t="e">
        <f>VLOOKUP(H600,Presupuesto!$B$11:$C$565,2,0)</f>
        <v>#N/A</v>
      </c>
      <c r="J600" s="218" t="s">
        <v>1366</v>
      </c>
      <c r="K600" s="98" t="s">
        <v>410</v>
      </c>
    </row>
    <row r="601" spans="3:11" x14ac:dyDescent="0.25">
      <c r="C601" s="143"/>
      <c r="D601" s="151"/>
      <c r="E601" s="118"/>
      <c r="F601" s="97">
        <f t="shared" si="38"/>
        <v>0</v>
      </c>
      <c r="G601" s="161"/>
      <c r="H601" s="144"/>
      <c r="I601" s="130" t="e">
        <f>VLOOKUP(H601,Presupuesto!$B$11:$C$565,2,0)</f>
        <v>#N/A</v>
      </c>
      <c r="J601" s="218" t="s">
        <v>1366</v>
      </c>
      <c r="K601" s="98" t="s">
        <v>410</v>
      </c>
    </row>
    <row r="602" spans="3:11" x14ac:dyDescent="0.25">
      <c r="C602" s="143"/>
      <c r="D602" s="151"/>
      <c r="E602" s="118"/>
      <c r="F602" s="97">
        <f t="shared" si="38"/>
        <v>0</v>
      </c>
      <c r="G602" s="161"/>
      <c r="H602" s="144"/>
      <c r="I602" s="130" t="e">
        <f>VLOOKUP(H602,Presupuesto!$B$11:$C$565,2,0)</f>
        <v>#N/A</v>
      </c>
      <c r="J602" s="218" t="s">
        <v>1366</v>
      </c>
      <c r="K602" s="98" t="s">
        <v>410</v>
      </c>
    </row>
    <row r="603" spans="3:11" x14ac:dyDescent="0.25">
      <c r="C603" s="143"/>
      <c r="D603" s="151"/>
      <c r="E603" s="118"/>
      <c r="F603" s="97">
        <f t="shared" si="38"/>
        <v>0</v>
      </c>
      <c r="G603" s="161"/>
      <c r="H603" s="144"/>
      <c r="I603" s="130" t="e">
        <f>VLOOKUP(H603,Presupuesto!$B$11:$C$565,2,0)</f>
        <v>#N/A</v>
      </c>
      <c r="J603" s="218" t="s">
        <v>1366</v>
      </c>
      <c r="K603" s="98" t="s">
        <v>410</v>
      </c>
    </row>
    <row r="604" spans="3:11" x14ac:dyDescent="0.25">
      <c r="C604" s="143"/>
      <c r="D604" s="151"/>
      <c r="E604" s="118"/>
      <c r="F604" s="97">
        <f t="shared" si="38"/>
        <v>0</v>
      </c>
      <c r="G604" s="161"/>
      <c r="H604" s="144"/>
      <c r="I604" s="130" t="e">
        <f>VLOOKUP(H604,Presupuesto!$B$11:$C$565,2,0)</f>
        <v>#N/A</v>
      </c>
      <c r="J604" s="218" t="s">
        <v>1366</v>
      </c>
      <c r="K604" s="98" t="s">
        <v>410</v>
      </c>
    </row>
    <row r="605" spans="3:11" x14ac:dyDescent="0.25">
      <c r="C605" s="143"/>
      <c r="D605" s="151"/>
      <c r="E605" s="118"/>
      <c r="F605" s="97">
        <f t="shared" si="38"/>
        <v>0</v>
      </c>
      <c r="G605" s="161"/>
      <c r="H605" s="144"/>
      <c r="I605" s="130" t="e">
        <f>VLOOKUP(H605,Presupuesto!$B$11:$C$565,2,0)</f>
        <v>#N/A</v>
      </c>
      <c r="J605" s="218" t="s">
        <v>1366</v>
      </c>
      <c r="K605" s="98" t="s">
        <v>410</v>
      </c>
    </row>
    <row r="606" spans="3:11" x14ac:dyDescent="0.25">
      <c r="C606" s="143"/>
      <c r="D606" s="151"/>
      <c r="E606" s="118"/>
      <c r="F606" s="97">
        <f t="shared" si="38"/>
        <v>0</v>
      </c>
      <c r="G606" s="161"/>
      <c r="H606" s="144"/>
      <c r="I606" s="130" t="e">
        <f>VLOOKUP(H606,Presupuesto!$B$11:$C$565,2,0)</f>
        <v>#N/A</v>
      </c>
      <c r="J606" s="218" t="s">
        <v>1366</v>
      </c>
      <c r="K606" s="98" t="s">
        <v>410</v>
      </c>
    </row>
    <row r="607" spans="3:11" x14ac:dyDescent="0.25">
      <c r="C607" s="145"/>
      <c r="D607" s="151"/>
      <c r="E607" s="118"/>
      <c r="F607" s="97">
        <f t="shared" si="38"/>
        <v>0</v>
      </c>
      <c r="G607" s="161"/>
      <c r="H607" s="146"/>
      <c r="I607" s="130" t="e">
        <f>VLOOKUP(H607,Presupuesto!$B$11:$C$565,2,0)</f>
        <v>#N/A</v>
      </c>
      <c r="J607" s="218" t="s">
        <v>1366</v>
      </c>
      <c r="K607" s="98" t="s">
        <v>401</v>
      </c>
    </row>
    <row r="608" spans="3:11" x14ac:dyDescent="0.25">
      <c r="C608" s="145"/>
      <c r="D608" s="151"/>
      <c r="E608" s="118"/>
      <c r="F608" s="97">
        <f t="shared" si="38"/>
        <v>0</v>
      </c>
      <c r="G608" s="161"/>
      <c r="H608" s="146"/>
      <c r="I608" s="130" t="e">
        <f>VLOOKUP(H608,Presupuesto!$B$11:$C$565,2,0)</f>
        <v>#N/A</v>
      </c>
      <c r="J608" s="98" t="str">
        <f t="shared" ref="J608:J611" si="39">$J$577</f>
        <v>Desarrollo del Sistema de Educación Superior</v>
      </c>
      <c r="K608" s="98" t="s">
        <v>410</v>
      </c>
    </row>
    <row r="609" spans="3:11" x14ac:dyDescent="0.25">
      <c r="C609" s="145"/>
      <c r="D609" s="151"/>
      <c r="E609" s="118"/>
      <c r="F609" s="97">
        <f t="shared" si="38"/>
        <v>0</v>
      </c>
      <c r="G609" s="161"/>
      <c r="H609" s="146"/>
      <c r="I609" s="130" t="e">
        <f>VLOOKUP(H609,Presupuesto!$B$11:$C$565,2,0)</f>
        <v>#N/A</v>
      </c>
      <c r="J609" s="98" t="str">
        <f t="shared" si="39"/>
        <v>Desarrollo del Sistema de Educación Superior</v>
      </c>
      <c r="K609" s="98" t="s">
        <v>410</v>
      </c>
    </row>
    <row r="610" spans="3:11" x14ac:dyDescent="0.25">
      <c r="C610" s="145"/>
      <c r="D610" s="151"/>
      <c r="E610" s="118"/>
      <c r="F610" s="97">
        <f t="shared" si="38"/>
        <v>0</v>
      </c>
      <c r="G610" s="161"/>
      <c r="H610" s="146"/>
      <c r="I610" s="130" t="e">
        <f>VLOOKUP(H610,Presupuesto!$B$11:$C$565,2,0)</f>
        <v>#N/A</v>
      </c>
      <c r="J610" s="98" t="str">
        <f t="shared" si="39"/>
        <v>Desarrollo del Sistema de Educación Superior</v>
      </c>
      <c r="K610" s="98" t="s">
        <v>410</v>
      </c>
    </row>
    <row r="611" spans="3:11" ht="15.75" thickBot="1" x14ac:dyDescent="0.3">
      <c r="C611" s="147"/>
      <c r="D611" s="159"/>
      <c r="E611" s="103"/>
      <c r="F611" s="105">
        <f t="shared" si="38"/>
        <v>0</v>
      </c>
      <c r="G611" s="162"/>
      <c r="H611" s="148"/>
      <c r="I611" s="132" t="e">
        <f>VLOOKUP(H611,Presupuesto!$B$11:$C$565,2,0)</f>
        <v>#N/A</v>
      </c>
      <c r="J611" s="106" t="str">
        <f t="shared" si="39"/>
        <v>Desarrollo del Sistema de Educación Superior</v>
      </c>
      <c r="K611" s="124" t="s">
        <v>392</v>
      </c>
    </row>
    <row r="613" spans="3:11" ht="15.75" thickBot="1" x14ac:dyDescent="0.3">
      <c r="F613" s="90"/>
      <c r="G613" s="89"/>
      <c r="H613" s="90"/>
      <c r="I613" s="90"/>
    </row>
    <row r="614" spans="3:11" ht="15.75" thickBot="1" x14ac:dyDescent="0.3">
      <c r="C614" s="157" t="s">
        <v>53</v>
      </c>
      <c r="D614" s="372">
        <f>SUM(F621:F655)</f>
        <v>0</v>
      </c>
      <c r="F614" s="70"/>
      <c r="G614" s="79"/>
      <c r="H614" s="70"/>
      <c r="I614" s="70"/>
    </row>
    <row r="615" spans="3:11" x14ac:dyDescent="0.25">
      <c r="C615" s="70"/>
      <c r="D615" s="31"/>
      <c r="E615" s="93"/>
      <c r="F615" s="93"/>
      <c r="G615" s="93"/>
      <c r="H615" s="76"/>
      <c r="I615" s="76"/>
      <c r="J615" s="76"/>
      <c r="K615" s="112"/>
    </row>
    <row r="616" spans="3:11" x14ac:dyDescent="0.25">
      <c r="C616" s="70"/>
      <c r="D616" s="31"/>
      <c r="E616" s="93"/>
      <c r="F616" s="93"/>
      <c r="G616" s="93"/>
      <c r="H616" s="76"/>
      <c r="I616" s="76"/>
      <c r="J616" s="76"/>
      <c r="K616" s="112"/>
    </row>
    <row r="617" spans="3:11" ht="15.75" x14ac:dyDescent="0.25">
      <c r="C617" s="202" t="s">
        <v>390</v>
      </c>
      <c r="D617" s="368"/>
      <c r="E617" s="93"/>
      <c r="F617" s="93"/>
      <c r="G617" s="93"/>
      <c r="H617" s="76"/>
      <c r="I617" s="76"/>
      <c r="J617" s="76"/>
      <c r="K617" s="112"/>
    </row>
    <row r="618" spans="3:11" ht="18.75" x14ac:dyDescent="0.25">
      <c r="C618" s="210" t="e">
        <f>IFERROR(VLOOKUP(D617,'1. Desarrollo e Innov. Curricu.'!$F:$G,2,FALSE),IFERROR(VLOOKUP(D617,'2. Investigación Científica'!$F:$G,2,FALSE),IFERROR(VLOOKUP(D617,'3. Vinculación Univ. Sociedad'!$F:$G,2,FALSE),IFERROR(VLOOKUP(D617,'4. Docencia y Profesorado Univ.'!$F:$G,2,FALSE),IFERROR(VLOOKUP(D617,'5. Estudiantes y Graduados'!$F:$G,2,FALSE),IFERROR(VLOOKUP(D617,'11. Gestion Administrativa'!$F:$G,2,FALSE),IFERROR(VLOOKUP(D617,'13. Gestión Académica'!$F:$G,2,FALSE),IFERROR(VLOOKUP(D617,'9. Asegura. de la Calid. y M'!$F:$G,2,FALSE),IFERROR(VLOOKUP(D617,'6. Gestión del Conocimiento'!$F:$G,2,FALSE),IFERROR(VLOOKUP(D617,'15. Gobernabilidad y Proceso...'!$G:$H,2,FALSE),IFERROR(VLOOKUP(D617,'12. Gestión del Talento Humano'!$F:$G,2,FALSE),IFERROR(VLOOKUP(D617,'14. Internacional... de la E.S.'!$F:$G,2,FALSE),IFERROR(VLOOKUP(D617,'10. Posgrado'!$F:$G,2,FALSE),IFERROR(VLOOKUP(D617,'17. Gestión TIC'!$F:$G,2,FALSE),IFERROR(VLOOKUP(D617,'16. Desa. del Sistema Educ.Sup.'!$F:$G,2,FALSE),IFERROR(VLOOKUP(D617,'8. Cultura de Inno. Insti...'!$F:$G,2,FALSE),VLOOKUP(D617,'7. Lo Esencial de la Reforma U.'!$G:$H,2,0)))))))))))))))))</f>
        <v>#N/A</v>
      </c>
      <c r="D618" s="31"/>
      <c r="E618" s="93"/>
      <c r="F618" s="93"/>
      <c r="G618" s="93"/>
      <c r="H618" s="76"/>
      <c r="I618" s="76"/>
      <c r="J618" s="76"/>
      <c r="K618" s="112"/>
    </row>
    <row r="619" spans="3:11" ht="15.75" thickBot="1" x14ac:dyDescent="0.3">
      <c r="F619" s="93"/>
      <c r="G619" s="76"/>
      <c r="H619" s="76"/>
      <c r="I619" s="76"/>
    </row>
    <row r="620" spans="3:11" ht="15.75" thickBot="1" x14ac:dyDescent="0.3">
      <c r="C620" s="129" t="s">
        <v>44</v>
      </c>
      <c r="D620" s="129" t="s">
        <v>55</v>
      </c>
      <c r="E620" s="136" t="s">
        <v>57</v>
      </c>
      <c r="F620" s="135" t="s">
        <v>27</v>
      </c>
      <c r="G620" s="133" t="s">
        <v>129</v>
      </c>
      <c r="H620" s="136" t="s">
        <v>46</v>
      </c>
      <c r="I620" s="133" t="s">
        <v>130</v>
      </c>
      <c r="J620" s="133" t="s">
        <v>408</v>
      </c>
      <c r="K620" s="133" t="s">
        <v>409</v>
      </c>
    </row>
    <row r="621" spans="3:11" x14ac:dyDescent="0.25">
      <c r="C621" s="220" t="s">
        <v>437</v>
      </c>
      <c r="D621" s="221"/>
      <c r="E621" s="219">
        <f>HLOOKUP(C621,$AH$2:$BU$3,2,0)</f>
        <v>620</v>
      </c>
      <c r="F621" s="97">
        <f t="shared" ref="F621:F655" si="40">D621*E621</f>
        <v>0</v>
      </c>
      <c r="G621" s="161"/>
      <c r="H621" s="142"/>
      <c r="I621" s="130" t="e">
        <f>VLOOKUP(H621,Presupuesto!$B$11:$C$565,2,0)</f>
        <v>#N/A</v>
      </c>
      <c r="J621" s="218" t="s">
        <v>1468</v>
      </c>
      <c r="K621" s="98" t="s">
        <v>392</v>
      </c>
    </row>
    <row r="622" spans="3:11" x14ac:dyDescent="0.25">
      <c r="C622" s="141"/>
      <c r="D622" s="158"/>
      <c r="E622" s="123"/>
      <c r="F622" s="97">
        <f t="shared" si="40"/>
        <v>0</v>
      </c>
      <c r="G622" s="161"/>
      <c r="H622" s="142"/>
      <c r="I622" s="130" t="e">
        <f>VLOOKUP(H622,Presupuesto!$B$11:$C$565,2,0)</f>
        <v>#N/A</v>
      </c>
      <c r="J622" s="98" t="str">
        <f>$J$621</f>
        <v>Desarrollo del Sistema de Educación Superior</v>
      </c>
      <c r="K622" s="98" t="s">
        <v>410</v>
      </c>
    </row>
    <row r="623" spans="3:11" x14ac:dyDescent="0.25">
      <c r="C623" s="141"/>
      <c r="D623" s="158"/>
      <c r="E623" s="123"/>
      <c r="F623" s="97">
        <f t="shared" si="40"/>
        <v>0</v>
      </c>
      <c r="G623" s="161"/>
      <c r="H623" s="142"/>
      <c r="I623" s="130" t="e">
        <f>VLOOKUP(H623,Presupuesto!$B$11:$C$565,2,0)</f>
        <v>#N/A</v>
      </c>
      <c r="J623" s="98" t="str">
        <f t="shared" ref="J623:J655" si="41">$J$621</f>
        <v>Desarrollo del Sistema de Educación Superior</v>
      </c>
      <c r="K623" s="98" t="s">
        <v>410</v>
      </c>
    </row>
    <row r="624" spans="3:11" x14ac:dyDescent="0.25">
      <c r="C624" s="141"/>
      <c r="D624" s="158"/>
      <c r="E624" s="123"/>
      <c r="F624" s="97">
        <f t="shared" si="40"/>
        <v>0</v>
      </c>
      <c r="G624" s="161"/>
      <c r="H624" s="142"/>
      <c r="I624" s="130" t="e">
        <f>VLOOKUP(H624,Presupuesto!$B$11:$C$565,2,0)</f>
        <v>#N/A</v>
      </c>
      <c r="J624" s="98" t="str">
        <f t="shared" si="41"/>
        <v>Desarrollo del Sistema de Educación Superior</v>
      </c>
      <c r="K624" s="98" t="s">
        <v>410</v>
      </c>
    </row>
    <row r="625" spans="3:11" x14ac:dyDescent="0.25">
      <c r="C625" s="141"/>
      <c r="D625" s="158"/>
      <c r="E625" s="123"/>
      <c r="F625" s="97">
        <f t="shared" si="40"/>
        <v>0</v>
      </c>
      <c r="G625" s="161"/>
      <c r="H625" s="142"/>
      <c r="I625" s="130" t="e">
        <f>VLOOKUP(H625,Presupuesto!$B$11:$C$565,2,0)</f>
        <v>#N/A</v>
      </c>
      <c r="J625" s="98" t="str">
        <f t="shared" si="41"/>
        <v>Desarrollo del Sistema de Educación Superior</v>
      </c>
      <c r="K625" s="98" t="s">
        <v>410</v>
      </c>
    </row>
    <row r="626" spans="3:11" x14ac:dyDescent="0.25">
      <c r="C626" s="141"/>
      <c r="D626" s="158"/>
      <c r="E626" s="123"/>
      <c r="F626" s="97">
        <f t="shared" si="40"/>
        <v>0</v>
      </c>
      <c r="G626" s="161"/>
      <c r="H626" s="142"/>
      <c r="I626" s="130" t="e">
        <f>VLOOKUP(H626,Presupuesto!$B$11:$C$565,2,0)</f>
        <v>#N/A</v>
      </c>
      <c r="J626" s="98" t="str">
        <f t="shared" si="41"/>
        <v>Desarrollo del Sistema de Educación Superior</v>
      </c>
      <c r="K626" s="98" t="s">
        <v>399</v>
      </c>
    </row>
    <row r="627" spans="3:11" x14ac:dyDescent="0.25">
      <c r="C627" s="141"/>
      <c r="D627" s="158"/>
      <c r="E627" s="123"/>
      <c r="F627" s="97">
        <f t="shared" si="40"/>
        <v>0</v>
      </c>
      <c r="G627" s="161"/>
      <c r="H627" s="142"/>
      <c r="I627" s="130" t="e">
        <f>VLOOKUP(H627,Presupuesto!$B$11:$C$565,2,0)</f>
        <v>#N/A</v>
      </c>
      <c r="J627" s="98" t="str">
        <f t="shared" si="41"/>
        <v>Desarrollo del Sistema de Educación Superior</v>
      </c>
      <c r="K627" s="98" t="s">
        <v>410</v>
      </c>
    </row>
    <row r="628" spans="3:11" x14ac:dyDescent="0.25">
      <c r="C628" s="141"/>
      <c r="D628" s="158"/>
      <c r="E628" s="123"/>
      <c r="F628" s="97">
        <f t="shared" si="40"/>
        <v>0</v>
      </c>
      <c r="G628" s="161"/>
      <c r="H628" s="142"/>
      <c r="I628" s="130" t="e">
        <f>VLOOKUP(H628,Presupuesto!$B$11:$C$565,2,0)</f>
        <v>#N/A</v>
      </c>
      <c r="J628" s="98" t="str">
        <f t="shared" si="41"/>
        <v>Desarrollo del Sistema de Educación Superior</v>
      </c>
      <c r="K628" s="98" t="s">
        <v>410</v>
      </c>
    </row>
    <row r="629" spans="3:11" x14ac:dyDescent="0.25">
      <c r="C629" s="141"/>
      <c r="D629" s="158"/>
      <c r="E629" s="123"/>
      <c r="F629" s="97">
        <f t="shared" si="40"/>
        <v>0</v>
      </c>
      <c r="G629" s="161"/>
      <c r="H629" s="142"/>
      <c r="I629" s="130" t="e">
        <f>VLOOKUP(H629,Presupuesto!$B$11:$C$565,2,0)</f>
        <v>#N/A</v>
      </c>
      <c r="J629" s="98" t="str">
        <f t="shared" si="41"/>
        <v>Desarrollo del Sistema de Educación Superior</v>
      </c>
      <c r="K629" s="98" t="s">
        <v>410</v>
      </c>
    </row>
    <row r="630" spans="3:11" x14ac:dyDescent="0.25">
      <c r="C630" s="141"/>
      <c r="D630" s="158"/>
      <c r="E630" s="123"/>
      <c r="F630" s="97">
        <f t="shared" si="40"/>
        <v>0</v>
      </c>
      <c r="G630" s="161"/>
      <c r="H630" s="142"/>
      <c r="I630" s="130" t="e">
        <f>VLOOKUP(H630,Presupuesto!$B$11:$C$565,2,0)</f>
        <v>#N/A</v>
      </c>
      <c r="J630" s="98" t="str">
        <f t="shared" si="41"/>
        <v>Desarrollo del Sistema de Educación Superior</v>
      </c>
      <c r="K630" s="98" t="s">
        <v>410</v>
      </c>
    </row>
    <row r="631" spans="3:11" x14ac:dyDescent="0.25">
      <c r="C631" s="141"/>
      <c r="D631" s="158"/>
      <c r="E631" s="123"/>
      <c r="F631" s="97">
        <f t="shared" si="40"/>
        <v>0</v>
      </c>
      <c r="G631" s="161"/>
      <c r="H631" s="142"/>
      <c r="I631" s="130" t="e">
        <f>VLOOKUP(H631,Presupuesto!$B$11:$C$565,2,0)</f>
        <v>#N/A</v>
      </c>
      <c r="J631" s="98" t="str">
        <f t="shared" si="41"/>
        <v>Desarrollo del Sistema de Educación Superior</v>
      </c>
      <c r="K631" s="98" t="s">
        <v>410</v>
      </c>
    </row>
    <row r="632" spans="3:11" x14ac:dyDescent="0.25">
      <c r="C632" s="141"/>
      <c r="D632" s="158"/>
      <c r="E632" s="123"/>
      <c r="F632" s="97">
        <f t="shared" si="40"/>
        <v>0</v>
      </c>
      <c r="G632" s="161"/>
      <c r="H632" s="142"/>
      <c r="I632" s="130" t="e">
        <f>VLOOKUP(H632,Presupuesto!$B$11:$C$565,2,0)</f>
        <v>#N/A</v>
      </c>
      <c r="J632" s="98" t="str">
        <f t="shared" si="41"/>
        <v>Desarrollo del Sistema de Educación Superior</v>
      </c>
      <c r="K632" s="98" t="s">
        <v>410</v>
      </c>
    </row>
    <row r="633" spans="3:11" x14ac:dyDescent="0.25">
      <c r="C633" s="141"/>
      <c r="D633" s="158"/>
      <c r="E633" s="123"/>
      <c r="F633" s="97">
        <f t="shared" si="40"/>
        <v>0</v>
      </c>
      <c r="G633" s="161"/>
      <c r="H633" s="142"/>
      <c r="I633" s="130" t="e">
        <f>VLOOKUP(H633,Presupuesto!$B$11:$C$565,2,0)</f>
        <v>#N/A</v>
      </c>
      <c r="J633" s="98" t="str">
        <f t="shared" si="41"/>
        <v>Desarrollo del Sistema de Educación Superior</v>
      </c>
      <c r="K633" s="98" t="s">
        <v>410</v>
      </c>
    </row>
    <row r="634" spans="3:11" x14ac:dyDescent="0.25">
      <c r="C634" s="141"/>
      <c r="D634" s="158"/>
      <c r="E634" s="123"/>
      <c r="F634" s="97">
        <f t="shared" si="40"/>
        <v>0</v>
      </c>
      <c r="G634" s="161"/>
      <c r="H634" s="142"/>
      <c r="I634" s="130" t="e">
        <f>VLOOKUP(H634,Presupuesto!$B$11:$C$565,2,0)</f>
        <v>#N/A</v>
      </c>
      <c r="J634" s="98" t="str">
        <f t="shared" si="41"/>
        <v>Desarrollo del Sistema de Educación Superior</v>
      </c>
      <c r="K634" s="98" t="s">
        <v>410</v>
      </c>
    </row>
    <row r="635" spans="3:11" x14ac:dyDescent="0.25">
      <c r="C635" s="141"/>
      <c r="D635" s="158"/>
      <c r="E635" s="123"/>
      <c r="F635" s="97">
        <f t="shared" si="40"/>
        <v>0</v>
      </c>
      <c r="G635" s="161"/>
      <c r="H635" s="142"/>
      <c r="I635" s="130" t="e">
        <f>VLOOKUP(H635,Presupuesto!$B$11:$C$565,2,0)</f>
        <v>#N/A</v>
      </c>
      <c r="J635" s="98" t="str">
        <f t="shared" si="41"/>
        <v>Desarrollo del Sistema de Educación Superior</v>
      </c>
      <c r="K635" s="98" t="s">
        <v>410</v>
      </c>
    </row>
    <row r="636" spans="3:11" x14ac:dyDescent="0.25">
      <c r="C636" s="141"/>
      <c r="D636" s="158"/>
      <c r="E636" s="123"/>
      <c r="F636" s="97">
        <f t="shared" si="40"/>
        <v>0</v>
      </c>
      <c r="G636" s="161"/>
      <c r="H636" s="142"/>
      <c r="I636" s="130" t="e">
        <f>VLOOKUP(H636,Presupuesto!$B$11:$C$565,2,0)</f>
        <v>#N/A</v>
      </c>
      <c r="J636" s="98" t="str">
        <f t="shared" si="41"/>
        <v>Desarrollo del Sistema de Educación Superior</v>
      </c>
      <c r="K636" s="98" t="s">
        <v>410</v>
      </c>
    </row>
    <row r="637" spans="3:11" x14ac:dyDescent="0.25">
      <c r="C637" s="141"/>
      <c r="D637" s="158"/>
      <c r="E637" s="123"/>
      <c r="F637" s="97">
        <f t="shared" si="40"/>
        <v>0</v>
      </c>
      <c r="G637" s="161"/>
      <c r="H637" s="142"/>
      <c r="I637" s="130" t="e">
        <f>VLOOKUP(H637,Presupuesto!$B$11:$C$565,2,0)</f>
        <v>#N/A</v>
      </c>
      <c r="J637" s="98" t="str">
        <f t="shared" si="41"/>
        <v>Desarrollo del Sistema de Educación Superior</v>
      </c>
      <c r="K637" s="98" t="s">
        <v>410</v>
      </c>
    </row>
    <row r="638" spans="3:11" x14ac:dyDescent="0.25">
      <c r="C638" s="141"/>
      <c r="D638" s="158"/>
      <c r="E638" s="123"/>
      <c r="F638" s="97">
        <f t="shared" si="40"/>
        <v>0</v>
      </c>
      <c r="G638" s="161"/>
      <c r="H638" s="142"/>
      <c r="I638" s="130" t="e">
        <f>VLOOKUP(H638,Presupuesto!$B$11:$C$565,2,0)</f>
        <v>#N/A</v>
      </c>
      <c r="J638" s="98" t="str">
        <f t="shared" si="41"/>
        <v>Desarrollo del Sistema de Educación Superior</v>
      </c>
      <c r="K638" s="98" t="s">
        <v>410</v>
      </c>
    </row>
    <row r="639" spans="3:11" x14ac:dyDescent="0.25">
      <c r="C639" s="141"/>
      <c r="D639" s="158"/>
      <c r="E639" s="123"/>
      <c r="F639" s="97">
        <f t="shared" si="40"/>
        <v>0</v>
      </c>
      <c r="G639" s="161"/>
      <c r="H639" s="142"/>
      <c r="I639" s="130" t="e">
        <f>VLOOKUP(H639,Presupuesto!$B$11:$C$565,2,0)</f>
        <v>#N/A</v>
      </c>
      <c r="J639" s="98" t="str">
        <f t="shared" si="41"/>
        <v>Desarrollo del Sistema de Educación Superior</v>
      </c>
      <c r="K639" s="98" t="s">
        <v>410</v>
      </c>
    </row>
    <row r="640" spans="3:11" x14ac:dyDescent="0.25">
      <c r="C640" s="141"/>
      <c r="D640" s="158"/>
      <c r="E640" s="123"/>
      <c r="F640" s="97">
        <f t="shared" si="40"/>
        <v>0</v>
      </c>
      <c r="G640" s="161"/>
      <c r="H640" s="142"/>
      <c r="I640" s="130" t="e">
        <f>VLOOKUP(H640,Presupuesto!$B$11:$C$565,2,0)</f>
        <v>#N/A</v>
      </c>
      <c r="J640" s="98" t="str">
        <f t="shared" si="41"/>
        <v>Desarrollo del Sistema de Educación Superior</v>
      </c>
      <c r="K640" s="98" t="s">
        <v>410</v>
      </c>
    </row>
    <row r="641" spans="3:11" x14ac:dyDescent="0.25">
      <c r="C641" s="141"/>
      <c r="D641" s="158"/>
      <c r="E641" s="123"/>
      <c r="F641" s="97">
        <f t="shared" si="40"/>
        <v>0</v>
      </c>
      <c r="G641" s="161"/>
      <c r="H641" s="142"/>
      <c r="I641" s="130" t="e">
        <f>VLOOKUP(H641,Presupuesto!$B$11:$C$565,2,0)</f>
        <v>#N/A</v>
      </c>
      <c r="J641" s="98" t="str">
        <f t="shared" si="41"/>
        <v>Desarrollo del Sistema de Educación Superior</v>
      </c>
      <c r="K641" s="98" t="s">
        <v>410</v>
      </c>
    </row>
    <row r="642" spans="3:11" x14ac:dyDescent="0.25">
      <c r="C642" s="141"/>
      <c r="D642" s="158"/>
      <c r="E642" s="123"/>
      <c r="F642" s="97">
        <f t="shared" si="40"/>
        <v>0</v>
      </c>
      <c r="G642" s="161"/>
      <c r="H642" s="142"/>
      <c r="I642" s="130" t="e">
        <f>VLOOKUP(H642,Presupuesto!$B$11:$C$565,2,0)</f>
        <v>#N/A</v>
      </c>
      <c r="J642" s="98" t="str">
        <f t="shared" si="41"/>
        <v>Desarrollo del Sistema de Educación Superior</v>
      </c>
      <c r="K642" s="98" t="s">
        <v>410</v>
      </c>
    </row>
    <row r="643" spans="3:11" x14ac:dyDescent="0.25">
      <c r="C643" s="143"/>
      <c r="D643" s="151"/>
      <c r="E643" s="118"/>
      <c r="F643" s="97">
        <f t="shared" si="40"/>
        <v>0</v>
      </c>
      <c r="G643" s="161"/>
      <c r="H643" s="144"/>
      <c r="I643" s="130" t="e">
        <f>VLOOKUP(H643,Presupuesto!$B$11:$C$565,2,0)</f>
        <v>#N/A</v>
      </c>
      <c r="J643" s="98" t="str">
        <f t="shared" si="41"/>
        <v>Desarrollo del Sistema de Educación Superior</v>
      </c>
      <c r="K643" s="98" t="s">
        <v>410</v>
      </c>
    </row>
    <row r="644" spans="3:11" x14ac:dyDescent="0.25">
      <c r="C644" s="143"/>
      <c r="D644" s="151"/>
      <c r="E644" s="118"/>
      <c r="F644" s="97">
        <f t="shared" si="40"/>
        <v>0</v>
      </c>
      <c r="G644" s="161"/>
      <c r="H644" s="144"/>
      <c r="I644" s="130" t="e">
        <f>VLOOKUP(H644,Presupuesto!$B$11:$C$565,2,0)</f>
        <v>#N/A</v>
      </c>
      <c r="J644" s="98" t="str">
        <f t="shared" si="41"/>
        <v>Desarrollo del Sistema de Educación Superior</v>
      </c>
      <c r="K644" s="98" t="s">
        <v>410</v>
      </c>
    </row>
    <row r="645" spans="3:11" x14ac:dyDescent="0.25">
      <c r="C645" s="143"/>
      <c r="D645" s="151"/>
      <c r="E645" s="118"/>
      <c r="F645" s="97">
        <f t="shared" si="40"/>
        <v>0</v>
      </c>
      <c r="G645" s="161"/>
      <c r="H645" s="144"/>
      <c r="I645" s="130" t="e">
        <f>VLOOKUP(H645,Presupuesto!$B$11:$C$565,2,0)</f>
        <v>#N/A</v>
      </c>
      <c r="J645" s="98" t="str">
        <f t="shared" si="41"/>
        <v>Desarrollo del Sistema de Educación Superior</v>
      </c>
      <c r="K645" s="98" t="s">
        <v>410</v>
      </c>
    </row>
    <row r="646" spans="3:11" x14ac:dyDescent="0.25">
      <c r="C646" s="143"/>
      <c r="D646" s="151"/>
      <c r="E646" s="118"/>
      <c r="F646" s="97">
        <f t="shared" si="40"/>
        <v>0</v>
      </c>
      <c r="G646" s="161"/>
      <c r="H646" s="144"/>
      <c r="I646" s="130" t="e">
        <f>VLOOKUP(H646,Presupuesto!$B$11:$C$565,2,0)</f>
        <v>#N/A</v>
      </c>
      <c r="J646" s="98" t="str">
        <f t="shared" si="41"/>
        <v>Desarrollo del Sistema de Educación Superior</v>
      </c>
      <c r="K646" s="98" t="s">
        <v>410</v>
      </c>
    </row>
    <row r="647" spans="3:11" x14ac:dyDescent="0.25">
      <c r="C647" s="143"/>
      <c r="D647" s="151"/>
      <c r="E647" s="118"/>
      <c r="F647" s="97">
        <f t="shared" si="40"/>
        <v>0</v>
      </c>
      <c r="G647" s="161"/>
      <c r="H647" s="144"/>
      <c r="I647" s="130" t="e">
        <f>VLOOKUP(H647,Presupuesto!$B$11:$C$565,2,0)</f>
        <v>#N/A</v>
      </c>
      <c r="J647" s="98" t="str">
        <f t="shared" si="41"/>
        <v>Desarrollo del Sistema de Educación Superior</v>
      </c>
      <c r="K647" s="98" t="s">
        <v>410</v>
      </c>
    </row>
    <row r="648" spans="3:11" x14ac:dyDescent="0.25">
      <c r="C648" s="143"/>
      <c r="D648" s="151"/>
      <c r="E648" s="118"/>
      <c r="F648" s="97">
        <f t="shared" si="40"/>
        <v>0</v>
      </c>
      <c r="G648" s="161"/>
      <c r="H648" s="144"/>
      <c r="I648" s="130" t="e">
        <f>VLOOKUP(H648,Presupuesto!$B$11:$C$565,2,0)</f>
        <v>#N/A</v>
      </c>
      <c r="J648" s="98" t="str">
        <f t="shared" si="41"/>
        <v>Desarrollo del Sistema de Educación Superior</v>
      </c>
      <c r="K648" s="98" t="s">
        <v>410</v>
      </c>
    </row>
    <row r="649" spans="3:11" x14ac:dyDescent="0.25">
      <c r="C649" s="143"/>
      <c r="D649" s="151"/>
      <c r="E649" s="118"/>
      <c r="F649" s="97">
        <f t="shared" si="40"/>
        <v>0</v>
      </c>
      <c r="G649" s="161"/>
      <c r="H649" s="144"/>
      <c r="I649" s="130" t="e">
        <f>VLOOKUP(H649,Presupuesto!$B$11:$C$565,2,0)</f>
        <v>#N/A</v>
      </c>
      <c r="J649" s="98" t="str">
        <f t="shared" si="41"/>
        <v>Desarrollo del Sistema de Educación Superior</v>
      </c>
      <c r="K649" s="98" t="s">
        <v>410</v>
      </c>
    </row>
    <row r="650" spans="3:11" x14ac:dyDescent="0.25">
      <c r="C650" s="143"/>
      <c r="D650" s="151"/>
      <c r="E650" s="118"/>
      <c r="F650" s="97">
        <f t="shared" si="40"/>
        <v>0</v>
      </c>
      <c r="G650" s="161"/>
      <c r="H650" s="144"/>
      <c r="I650" s="130" t="e">
        <f>VLOOKUP(H650,Presupuesto!$B$11:$C$565,2,0)</f>
        <v>#N/A</v>
      </c>
      <c r="J650" s="98" t="str">
        <f t="shared" si="41"/>
        <v>Desarrollo del Sistema de Educación Superior</v>
      </c>
      <c r="K650" s="98" t="s">
        <v>410</v>
      </c>
    </row>
    <row r="651" spans="3:11" x14ac:dyDescent="0.25">
      <c r="C651" s="145"/>
      <c r="D651" s="151"/>
      <c r="E651" s="118"/>
      <c r="F651" s="97">
        <f t="shared" si="40"/>
        <v>0</v>
      </c>
      <c r="G651" s="161"/>
      <c r="H651" s="146"/>
      <c r="I651" s="130" t="e">
        <f>VLOOKUP(H651,Presupuesto!$B$11:$C$565,2,0)</f>
        <v>#N/A</v>
      </c>
      <c r="J651" s="98" t="str">
        <f t="shared" si="41"/>
        <v>Desarrollo del Sistema de Educación Superior</v>
      </c>
      <c r="K651" s="98" t="s">
        <v>401</v>
      </c>
    </row>
    <row r="652" spans="3:11" x14ac:dyDescent="0.25">
      <c r="C652" s="145"/>
      <c r="D652" s="151"/>
      <c r="E652" s="118"/>
      <c r="F652" s="97">
        <f t="shared" si="40"/>
        <v>0</v>
      </c>
      <c r="G652" s="161"/>
      <c r="H652" s="146"/>
      <c r="I652" s="130" t="e">
        <f>VLOOKUP(H652,Presupuesto!$B$11:$C$565,2,0)</f>
        <v>#N/A</v>
      </c>
      <c r="J652" s="98" t="str">
        <f t="shared" si="41"/>
        <v>Desarrollo del Sistema de Educación Superior</v>
      </c>
      <c r="K652" s="98" t="s">
        <v>410</v>
      </c>
    </row>
    <row r="653" spans="3:11" x14ac:dyDescent="0.25">
      <c r="C653" s="145"/>
      <c r="D653" s="151"/>
      <c r="E653" s="118"/>
      <c r="F653" s="97">
        <f t="shared" si="40"/>
        <v>0</v>
      </c>
      <c r="G653" s="161"/>
      <c r="H653" s="146"/>
      <c r="I653" s="130" t="e">
        <f>VLOOKUP(H653,Presupuesto!$B$11:$C$565,2,0)</f>
        <v>#N/A</v>
      </c>
      <c r="J653" s="98" t="str">
        <f t="shared" si="41"/>
        <v>Desarrollo del Sistema de Educación Superior</v>
      </c>
      <c r="K653" s="98" t="s">
        <v>410</v>
      </c>
    </row>
    <row r="654" spans="3:11" x14ac:dyDescent="0.25">
      <c r="C654" s="145"/>
      <c r="D654" s="151"/>
      <c r="E654" s="118"/>
      <c r="F654" s="97">
        <f t="shared" si="40"/>
        <v>0</v>
      </c>
      <c r="G654" s="161"/>
      <c r="H654" s="146"/>
      <c r="I654" s="130" t="e">
        <f>VLOOKUP(H654,Presupuesto!$B$11:$C$565,2,0)</f>
        <v>#N/A</v>
      </c>
      <c r="J654" s="98" t="str">
        <f t="shared" si="41"/>
        <v>Desarrollo del Sistema de Educación Superior</v>
      </c>
      <c r="K654" s="98" t="s">
        <v>410</v>
      </c>
    </row>
    <row r="655" spans="3:11" ht="15.75" thickBot="1" x14ac:dyDescent="0.3">
      <c r="C655" s="147"/>
      <c r="D655" s="159"/>
      <c r="E655" s="103"/>
      <c r="F655" s="105">
        <f t="shared" si="40"/>
        <v>0</v>
      </c>
      <c r="G655" s="162"/>
      <c r="H655" s="148"/>
      <c r="I655" s="132" t="e">
        <f>VLOOKUP(H655,Presupuesto!$B$11:$C$565,2,0)</f>
        <v>#N/A</v>
      </c>
      <c r="J655" s="106" t="str">
        <f t="shared" si="41"/>
        <v>Desarrollo del Sistema de Educación Superior</v>
      </c>
      <c r="K655" s="124" t="s">
        <v>392</v>
      </c>
    </row>
    <row r="657" spans="3:11" ht="15.75" thickBot="1" x14ac:dyDescent="0.3"/>
    <row r="658" spans="3:11" ht="15.75" thickBot="1" x14ac:dyDescent="0.3">
      <c r="C658" s="157" t="s">
        <v>53</v>
      </c>
      <c r="D658" s="372">
        <f>SUM(F665:F699)</f>
        <v>0</v>
      </c>
      <c r="F658" s="70"/>
      <c r="G658" s="79"/>
      <c r="H658" s="70"/>
      <c r="I658" s="70"/>
    </row>
    <row r="659" spans="3:11" x14ac:dyDescent="0.25">
      <c r="C659" s="70"/>
      <c r="D659" s="31"/>
      <c r="E659" s="93"/>
      <c r="F659" s="93"/>
      <c r="G659" s="93"/>
      <c r="H659" s="76"/>
      <c r="I659" s="76"/>
      <c r="J659" s="76"/>
      <c r="K659" s="112"/>
    </row>
    <row r="660" spans="3:11" x14ac:dyDescent="0.25">
      <c r="C660" s="70"/>
      <c r="D660" s="31"/>
      <c r="E660" s="93"/>
      <c r="F660" s="93"/>
      <c r="G660" s="93"/>
      <c r="H660" s="76"/>
      <c r="I660" s="76"/>
      <c r="J660" s="76"/>
      <c r="K660" s="112"/>
    </row>
    <row r="661" spans="3:11" ht="15.75" x14ac:dyDescent="0.25">
      <c r="C661" s="202" t="s">
        <v>390</v>
      </c>
      <c r="D661" s="368"/>
      <c r="E661" s="93"/>
      <c r="F661" s="93"/>
      <c r="G661" s="93"/>
      <c r="H661" s="76"/>
      <c r="I661" s="76"/>
      <c r="J661" s="76"/>
      <c r="K661" s="112"/>
    </row>
    <row r="662" spans="3:11" ht="18.75" x14ac:dyDescent="0.25">
      <c r="C662" s="210" t="e">
        <f>IFERROR(VLOOKUP(D661,'1. Desarrollo e Innov. Curricu.'!$F:$G,2,FALSE),IFERROR(VLOOKUP(D661,'2. Investigación Científica'!$F:$G,2,FALSE),IFERROR(VLOOKUP(D661,'3. Vinculación Univ. Sociedad'!$F:$G,2,FALSE),IFERROR(VLOOKUP(D661,'4. Docencia y Profesorado Univ.'!$F:$G,2,FALSE),IFERROR(VLOOKUP(D661,'5. Estudiantes y Graduados'!$F:$G,2,FALSE),IFERROR(VLOOKUP(D661,'11. Gestion Administrativa'!$F:$G,2,FALSE),IFERROR(VLOOKUP(D661,'13. Gestión Académica'!$F:$G,2,FALSE),IFERROR(VLOOKUP(D661,'9. Asegura. de la Calid. y M'!$F:$G,2,FALSE),IFERROR(VLOOKUP(D661,'6. Gestión del Conocimiento'!$F:$G,2,FALSE),IFERROR(VLOOKUP(D661,'15. Gobernabilidad y Proceso...'!$G:$H,2,FALSE),IFERROR(VLOOKUP(D661,'12. Gestión del Talento Humano'!$F:$G,2,FALSE),IFERROR(VLOOKUP(D661,'14. Internacional... de la E.S.'!$F:$G,2,FALSE),IFERROR(VLOOKUP(D661,'10. Posgrado'!$F:$G,2,FALSE),IFERROR(VLOOKUP(D661,'17. Gestión TIC'!$F:$G,2,FALSE),IFERROR(VLOOKUP(D661,'16. Desa. del Sistema Educ.Sup.'!$F:$G,2,FALSE),IFERROR(VLOOKUP(D661,'8. Cultura de Inno. Insti...'!$F:$G,2,FALSE),VLOOKUP(D661,'7. Lo Esencial de la Reforma U.'!$G:$H,2,0)))))))))))))))))</f>
        <v>#N/A</v>
      </c>
      <c r="D662" s="31"/>
      <c r="E662" s="93"/>
      <c r="F662" s="93"/>
      <c r="G662" s="93"/>
      <c r="H662" s="76"/>
      <c r="I662" s="76"/>
      <c r="J662" s="76"/>
      <c r="K662" s="112"/>
    </row>
    <row r="663" spans="3:11" ht="15.75" thickBot="1" x14ac:dyDescent="0.3">
      <c r="F663" s="93"/>
      <c r="G663" s="76"/>
      <c r="H663" s="76"/>
      <c r="I663" s="76"/>
    </row>
    <row r="664" spans="3:11" ht="15.75" thickBot="1" x14ac:dyDescent="0.3">
      <c r="C664" s="129" t="s">
        <v>44</v>
      </c>
      <c r="D664" s="129" t="s">
        <v>55</v>
      </c>
      <c r="E664" s="136" t="s">
        <v>57</v>
      </c>
      <c r="F664" s="135" t="s">
        <v>27</v>
      </c>
      <c r="G664" s="133" t="s">
        <v>129</v>
      </c>
      <c r="H664" s="136" t="s">
        <v>46</v>
      </c>
      <c r="I664" s="133" t="s">
        <v>130</v>
      </c>
      <c r="J664" s="133" t="s">
        <v>408</v>
      </c>
      <c r="K664" s="133" t="s">
        <v>409</v>
      </c>
    </row>
    <row r="665" spans="3:11" x14ac:dyDescent="0.25">
      <c r="C665" s="220" t="s">
        <v>437</v>
      </c>
      <c r="D665" s="221"/>
      <c r="E665" s="219">
        <f>HLOOKUP(C665,$AH$2:$BU$3,2,0)</f>
        <v>620</v>
      </c>
      <c r="F665" s="97">
        <f t="shared" ref="F665:F699" si="42">D665*E665</f>
        <v>0</v>
      </c>
      <c r="G665" s="161"/>
      <c r="H665" s="142"/>
      <c r="I665" s="130" t="e">
        <f>VLOOKUP(H665,Presupuesto!$B$11:$C$565,2,0)</f>
        <v>#N/A</v>
      </c>
      <c r="J665" s="218" t="s">
        <v>1468</v>
      </c>
      <c r="K665" s="98" t="s">
        <v>392</v>
      </c>
    </row>
    <row r="666" spans="3:11" x14ac:dyDescent="0.25">
      <c r="C666" s="141"/>
      <c r="D666" s="158"/>
      <c r="E666" s="123"/>
      <c r="F666" s="97">
        <f t="shared" si="42"/>
        <v>0</v>
      </c>
      <c r="G666" s="161"/>
      <c r="H666" s="142"/>
      <c r="I666" s="130" t="e">
        <f>VLOOKUP(H666,Presupuesto!$B$11:$C$565,2,0)</f>
        <v>#N/A</v>
      </c>
      <c r="J666" s="98" t="str">
        <f>$J$665</f>
        <v>Desarrollo del Sistema de Educación Superior</v>
      </c>
      <c r="K666" s="98" t="s">
        <v>410</v>
      </c>
    </row>
    <row r="667" spans="3:11" x14ac:dyDescent="0.25">
      <c r="C667" s="141"/>
      <c r="D667" s="158"/>
      <c r="E667" s="123"/>
      <c r="F667" s="97">
        <f t="shared" si="42"/>
        <v>0</v>
      </c>
      <c r="G667" s="161"/>
      <c r="H667" s="142"/>
      <c r="I667" s="130" t="e">
        <f>VLOOKUP(H667,Presupuesto!$B$11:$C$565,2,0)</f>
        <v>#N/A</v>
      </c>
      <c r="J667" s="98" t="str">
        <f t="shared" ref="J667:J699" si="43">$J$665</f>
        <v>Desarrollo del Sistema de Educación Superior</v>
      </c>
      <c r="K667" s="98" t="s">
        <v>410</v>
      </c>
    </row>
    <row r="668" spans="3:11" x14ac:dyDescent="0.25">
      <c r="C668" s="141"/>
      <c r="D668" s="158"/>
      <c r="E668" s="123"/>
      <c r="F668" s="97">
        <f t="shared" si="42"/>
        <v>0</v>
      </c>
      <c r="G668" s="161"/>
      <c r="H668" s="142"/>
      <c r="I668" s="130" t="e">
        <f>VLOOKUP(H668,Presupuesto!$B$11:$C$565,2,0)</f>
        <v>#N/A</v>
      </c>
      <c r="J668" s="98" t="str">
        <f t="shared" si="43"/>
        <v>Desarrollo del Sistema de Educación Superior</v>
      </c>
      <c r="K668" s="98" t="s">
        <v>410</v>
      </c>
    </row>
    <row r="669" spans="3:11" x14ac:dyDescent="0.25">
      <c r="C669" s="141"/>
      <c r="D669" s="158"/>
      <c r="E669" s="123"/>
      <c r="F669" s="97">
        <f t="shared" si="42"/>
        <v>0</v>
      </c>
      <c r="G669" s="161"/>
      <c r="H669" s="142"/>
      <c r="I669" s="130" t="e">
        <f>VLOOKUP(H669,Presupuesto!$B$11:$C$565,2,0)</f>
        <v>#N/A</v>
      </c>
      <c r="J669" s="98" t="str">
        <f t="shared" si="43"/>
        <v>Desarrollo del Sistema de Educación Superior</v>
      </c>
      <c r="K669" s="98" t="s">
        <v>410</v>
      </c>
    </row>
    <row r="670" spans="3:11" x14ac:dyDescent="0.25">
      <c r="C670" s="141"/>
      <c r="D670" s="158"/>
      <c r="E670" s="123"/>
      <c r="F670" s="97">
        <f t="shared" si="42"/>
        <v>0</v>
      </c>
      <c r="G670" s="161"/>
      <c r="H670" s="142"/>
      <c r="I670" s="130" t="e">
        <f>VLOOKUP(H670,Presupuesto!$B$11:$C$565,2,0)</f>
        <v>#N/A</v>
      </c>
      <c r="J670" s="98" t="str">
        <f t="shared" si="43"/>
        <v>Desarrollo del Sistema de Educación Superior</v>
      </c>
      <c r="K670" s="98" t="s">
        <v>399</v>
      </c>
    </row>
    <row r="671" spans="3:11" x14ac:dyDescent="0.25">
      <c r="C671" s="141"/>
      <c r="D671" s="158"/>
      <c r="E671" s="123"/>
      <c r="F671" s="97">
        <f t="shared" si="42"/>
        <v>0</v>
      </c>
      <c r="G671" s="161"/>
      <c r="H671" s="142"/>
      <c r="I671" s="130" t="e">
        <f>VLOOKUP(H671,Presupuesto!$B$11:$C$565,2,0)</f>
        <v>#N/A</v>
      </c>
      <c r="J671" s="98" t="str">
        <f t="shared" si="43"/>
        <v>Desarrollo del Sistema de Educación Superior</v>
      </c>
      <c r="K671" s="98" t="s">
        <v>410</v>
      </c>
    </row>
    <row r="672" spans="3:11" x14ac:dyDescent="0.25">
      <c r="C672" s="141"/>
      <c r="D672" s="158"/>
      <c r="E672" s="123"/>
      <c r="F672" s="97">
        <f t="shared" si="42"/>
        <v>0</v>
      </c>
      <c r="G672" s="161"/>
      <c r="H672" s="142"/>
      <c r="I672" s="130" t="e">
        <f>VLOOKUP(H672,Presupuesto!$B$11:$C$565,2,0)</f>
        <v>#N/A</v>
      </c>
      <c r="J672" s="98" t="str">
        <f t="shared" si="43"/>
        <v>Desarrollo del Sistema de Educación Superior</v>
      </c>
      <c r="K672" s="98" t="s">
        <v>410</v>
      </c>
    </row>
    <row r="673" spans="3:11" x14ac:dyDescent="0.25">
      <c r="C673" s="141"/>
      <c r="D673" s="158"/>
      <c r="E673" s="123"/>
      <c r="F673" s="97">
        <f t="shared" si="42"/>
        <v>0</v>
      </c>
      <c r="G673" s="161"/>
      <c r="H673" s="142"/>
      <c r="I673" s="130" t="e">
        <f>VLOOKUP(H673,Presupuesto!$B$11:$C$565,2,0)</f>
        <v>#N/A</v>
      </c>
      <c r="J673" s="98" t="str">
        <f t="shared" si="43"/>
        <v>Desarrollo del Sistema de Educación Superior</v>
      </c>
      <c r="K673" s="98" t="s">
        <v>410</v>
      </c>
    </row>
    <row r="674" spans="3:11" x14ac:dyDescent="0.25">
      <c r="C674" s="141"/>
      <c r="D674" s="158"/>
      <c r="E674" s="123"/>
      <c r="F674" s="97">
        <f t="shared" si="42"/>
        <v>0</v>
      </c>
      <c r="G674" s="161"/>
      <c r="H674" s="142"/>
      <c r="I674" s="130" t="e">
        <f>VLOOKUP(H674,Presupuesto!$B$11:$C$565,2,0)</f>
        <v>#N/A</v>
      </c>
      <c r="J674" s="98" t="str">
        <f t="shared" si="43"/>
        <v>Desarrollo del Sistema de Educación Superior</v>
      </c>
      <c r="K674" s="98" t="s">
        <v>410</v>
      </c>
    </row>
    <row r="675" spans="3:11" x14ac:dyDescent="0.25">
      <c r="C675" s="141"/>
      <c r="D675" s="158"/>
      <c r="E675" s="123"/>
      <c r="F675" s="97">
        <f t="shared" si="42"/>
        <v>0</v>
      </c>
      <c r="G675" s="161"/>
      <c r="H675" s="142"/>
      <c r="I675" s="130" t="e">
        <f>VLOOKUP(H675,Presupuesto!$B$11:$C$565,2,0)</f>
        <v>#N/A</v>
      </c>
      <c r="J675" s="98" t="str">
        <f t="shared" si="43"/>
        <v>Desarrollo del Sistema de Educación Superior</v>
      </c>
      <c r="K675" s="98" t="s">
        <v>410</v>
      </c>
    </row>
    <row r="676" spans="3:11" x14ac:dyDescent="0.25">
      <c r="C676" s="141"/>
      <c r="D676" s="158"/>
      <c r="E676" s="123"/>
      <c r="F676" s="97">
        <f t="shared" si="42"/>
        <v>0</v>
      </c>
      <c r="G676" s="161"/>
      <c r="H676" s="142"/>
      <c r="I676" s="130" t="e">
        <f>VLOOKUP(H676,Presupuesto!$B$11:$C$565,2,0)</f>
        <v>#N/A</v>
      </c>
      <c r="J676" s="98" t="str">
        <f t="shared" si="43"/>
        <v>Desarrollo del Sistema de Educación Superior</v>
      </c>
      <c r="K676" s="98" t="s">
        <v>410</v>
      </c>
    </row>
    <row r="677" spans="3:11" x14ac:dyDescent="0.25">
      <c r="C677" s="141"/>
      <c r="D677" s="158"/>
      <c r="E677" s="123"/>
      <c r="F677" s="97">
        <f t="shared" si="42"/>
        <v>0</v>
      </c>
      <c r="G677" s="161"/>
      <c r="H677" s="142"/>
      <c r="I677" s="130" t="e">
        <f>VLOOKUP(H677,Presupuesto!$B$11:$C$565,2,0)</f>
        <v>#N/A</v>
      </c>
      <c r="J677" s="98" t="str">
        <f t="shared" si="43"/>
        <v>Desarrollo del Sistema de Educación Superior</v>
      </c>
      <c r="K677" s="98" t="s">
        <v>410</v>
      </c>
    </row>
    <row r="678" spans="3:11" x14ac:dyDescent="0.25">
      <c r="C678" s="141"/>
      <c r="D678" s="158"/>
      <c r="E678" s="123"/>
      <c r="F678" s="97">
        <f t="shared" si="42"/>
        <v>0</v>
      </c>
      <c r="G678" s="161"/>
      <c r="H678" s="142"/>
      <c r="I678" s="130" t="e">
        <f>VLOOKUP(H678,Presupuesto!$B$11:$C$565,2,0)</f>
        <v>#N/A</v>
      </c>
      <c r="J678" s="98" t="str">
        <f t="shared" si="43"/>
        <v>Desarrollo del Sistema de Educación Superior</v>
      </c>
      <c r="K678" s="98" t="s">
        <v>410</v>
      </c>
    </row>
    <row r="679" spans="3:11" x14ac:dyDescent="0.25">
      <c r="C679" s="141"/>
      <c r="D679" s="158"/>
      <c r="E679" s="123"/>
      <c r="F679" s="97">
        <f t="shared" si="42"/>
        <v>0</v>
      </c>
      <c r="G679" s="161"/>
      <c r="H679" s="142"/>
      <c r="I679" s="130" t="e">
        <f>VLOOKUP(H679,Presupuesto!$B$11:$C$565,2,0)</f>
        <v>#N/A</v>
      </c>
      <c r="J679" s="98" t="str">
        <f t="shared" si="43"/>
        <v>Desarrollo del Sistema de Educación Superior</v>
      </c>
      <c r="K679" s="98" t="s">
        <v>410</v>
      </c>
    </row>
    <row r="680" spans="3:11" x14ac:dyDescent="0.25">
      <c r="C680" s="141"/>
      <c r="D680" s="158"/>
      <c r="E680" s="123"/>
      <c r="F680" s="97">
        <f t="shared" si="42"/>
        <v>0</v>
      </c>
      <c r="G680" s="161"/>
      <c r="H680" s="142"/>
      <c r="I680" s="130" t="e">
        <f>VLOOKUP(H680,Presupuesto!$B$11:$C$565,2,0)</f>
        <v>#N/A</v>
      </c>
      <c r="J680" s="98" t="str">
        <f t="shared" si="43"/>
        <v>Desarrollo del Sistema de Educación Superior</v>
      </c>
      <c r="K680" s="98" t="s">
        <v>410</v>
      </c>
    </row>
    <row r="681" spans="3:11" x14ac:dyDescent="0.25">
      <c r="C681" s="141"/>
      <c r="D681" s="158"/>
      <c r="E681" s="123"/>
      <c r="F681" s="97">
        <f t="shared" si="42"/>
        <v>0</v>
      </c>
      <c r="G681" s="161"/>
      <c r="H681" s="142"/>
      <c r="I681" s="130" t="e">
        <f>VLOOKUP(H681,Presupuesto!$B$11:$C$565,2,0)</f>
        <v>#N/A</v>
      </c>
      <c r="J681" s="98" t="str">
        <f t="shared" si="43"/>
        <v>Desarrollo del Sistema de Educación Superior</v>
      </c>
      <c r="K681" s="98" t="s">
        <v>410</v>
      </c>
    </row>
    <row r="682" spans="3:11" x14ac:dyDescent="0.25">
      <c r="C682" s="141"/>
      <c r="D682" s="158"/>
      <c r="E682" s="123"/>
      <c r="F682" s="97">
        <f t="shared" si="42"/>
        <v>0</v>
      </c>
      <c r="G682" s="161"/>
      <c r="H682" s="142"/>
      <c r="I682" s="130" t="e">
        <f>VLOOKUP(H682,Presupuesto!$B$11:$C$565,2,0)</f>
        <v>#N/A</v>
      </c>
      <c r="J682" s="98" t="str">
        <f t="shared" si="43"/>
        <v>Desarrollo del Sistema de Educación Superior</v>
      </c>
      <c r="K682" s="98" t="s">
        <v>410</v>
      </c>
    </row>
    <row r="683" spans="3:11" x14ac:dyDescent="0.25">
      <c r="C683" s="141"/>
      <c r="D683" s="158"/>
      <c r="E683" s="123"/>
      <c r="F683" s="97">
        <f t="shared" si="42"/>
        <v>0</v>
      </c>
      <c r="G683" s="161"/>
      <c r="H683" s="142"/>
      <c r="I683" s="130" t="e">
        <f>VLOOKUP(H683,Presupuesto!$B$11:$C$565,2,0)</f>
        <v>#N/A</v>
      </c>
      <c r="J683" s="98" t="str">
        <f t="shared" si="43"/>
        <v>Desarrollo del Sistema de Educación Superior</v>
      </c>
      <c r="K683" s="98" t="s">
        <v>410</v>
      </c>
    </row>
    <row r="684" spans="3:11" x14ac:dyDescent="0.25">
      <c r="C684" s="141"/>
      <c r="D684" s="158"/>
      <c r="E684" s="123"/>
      <c r="F684" s="97">
        <f t="shared" si="42"/>
        <v>0</v>
      </c>
      <c r="G684" s="161"/>
      <c r="H684" s="142"/>
      <c r="I684" s="130" t="e">
        <f>VLOOKUP(H684,Presupuesto!$B$11:$C$565,2,0)</f>
        <v>#N/A</v>
      </c>
      <c r="J684" s="98" t="str">
        <f t="shared" si="43"/>
        <v>Desarrollo del Sistema de Educación Superior</v>
      </c>
      <c r="K684" s="98" t="s">
        <v>410</v>
      </c>
    </row>
    <row r="685" spans="3:11" x14ac:dyDescent="0.25">
      <c r="C685" s="141"/>
      <c r="D685" s="158"/>
      <c r="E685" s="123"/>
      <c r="F685" s="97">
        <f t="shared" si="42"/>
        <v>0</v>
      </c>
      <c r="G685" s="161"/>
      <c r="H685" s="142"/>
      <c r="I685" s="130" t="e">
        <f>VLOOKUP(H685,Presupuesto!$B$11:$C$565,2,0)</f>
        <v>#N/A</v>
      </c>
      <c r="J685" s="98" t="str">
        <f t="shared" si="43"/>
        <v>Desarrollo del Sistema de Educación Superior</v>
      </c>
      <c r="K685" s="98" t="s">
        <v>410</v>
      </c>
    </row>
    <row r="686" spans="3:11" x14ac:dyDescent="0.25">
      <c r="C686" s="141"/>
      <c r="D686" s="158"/>
      <c r="E686" s="123"/>
      <c r="F686" s="97">
        <f t="shared" si="42"/>
        <v>0</v>
      </c>
      <c r="G686" s="161"/>
      <c r="H686" s="142"/>
      <c r="I686" s="130" t="e">
        <f>VLOOKUP(H686,Presupuesto!$B$11:$C$565,2,0)</f>
        <v>#N/A</v>
      </c>
      <c r="J686" s="98" t="str">
        <f t="shared" si="43"/>
        <v>Desarrollo del Sistema de Educación Superior</v>
      </c>
      <c r="K686" s="98" t="s">
        <v>410</v>
      </c>
    </row>
    <row r="687" spans="3:11" x14ac:dyDescent="0.25">
      <c r="C687" s="143"/>
      <c r="D687" s="151"/>
      <c r="E687" s="118"/>
      <c r="F687" s="97">
        <f t="shared" si="42"/>
        <v>0</v>
      </c>
      <c r="G687" s="161"/>
      <c r="H687" s="144"/>
      <c r="I687" s="130" t="e">
        <f>VLOOKUP(H687,Presupuesto!$B$11:$C$565,2,0)</f>
        <v>#N/A</v>
      </c>
      <c r="J687" s="98" t="str">
        <f t="shared" si="43"/>
        <v>Desarrollo del Sistema de Educación Superior</v>
      </c>
      <c r="K687" s="98" t="s">
        <v>410</v>
      </c>
    </row>
    <row r="688" spans="3:11" x14ac:dyDescent="0.25">
      <c r="C688" s="143"/>
      <c r="D688" s="151"/>
      <c r="E688" s="118"/>
      <c r="F688" s="97">
        <f t="shared" si="42"/>
        <v>0</v>
      </c>
      <c r="G688" s="161"/>
      <c r="H688" s="144"/>
      <c r="I688" s="130" t="e">
        <f>VLOOKUP(H688,Presupuesto!$B$11:$C$565,2,0)</f>
        <v>#N/A</v>
      </c>
      <c r="J688" s="98" t="str">
        <f t="shared" si="43"/>
        <v>Desarrollo del Sistema de Educación Superior</v>
      </c>
      <c r="K688" s="98" t="s">
        <v>410</v>
      </c>
    </row>
    <row r="689" spans="3:11" x14ac:dyDescent="0.25">
      <c r="C689" s="143"/>
      <c r="D689" s="151"/>
      <c r="E689" s="118"/>
      <c r="F689" s="97">
        <f t="shared" si="42"/>
        <v>0</v>
      </c>
      <c r="G689" s="161"/>
      <c r="H689" s="144"/>
      <c r="I689" s="130" t="e">
        <f>VLOOKUP(H689,Presupuesto!$B$11:$C$565,2,0)</f>
        <v>#N/A</v>
      </c>
      <c r="J689" s="98" t="str">
        <f t="shared" si="43"/>
        <v>Desarrollo del Sistema de Educación Superior</v>
      </c>
      <c r="K689" s="98" t="s">
        <v>410</v>
      </c>
    </row>
    <row r="690" spans="3:11" x14ac:dyDescent="0.25">
      <c r="C690" s="143"/>
      <c r="D690" s="151"/>
      <c r="E690" s="118"/>
      <c r="F690" s="97">
        <f t="shared" si="42"/>
        <v>0</v>
      </c>
      <c r="G690" s="161"/>
      <c r="H690" s="144"/>
      <c r="I690" s="130" t="e">
        <f>VLOOKUP(H690,Presupuesto!$B$11:$C$565,2,0)</f>
        <v>#N/A</v>
      </c>
      <c r="J690" s="98" t="str">
        <f t="shared" si="43"/>
        <v>Desarrollo del Sistema de Educación Superior</v>
      </c>
      <c r="K690" s="98" t="s">
        <v>410</v>
      </c>
    </row>
    <row r="691" spans="3:11" x14ac:dyDescent="0.25">
      <c r="C691" s="143"/>
      <c r="D691" s="151"/>
      <c r="E691" s="118"/>
      <c r="F691" s="97">
        <f t="shared" si="42"/>
        <v>0</v>
      </c>
      <c r="G691" s="161"/>
      <c r="H691" s="144"/>
      <c r="I691" s="130" t="e">
        <f>VLOOKUP(H691,Presupuesto!$B$11:$C$565,2,0)</f>
        <v>#N/A</v>
      </c>
      <c r="J691" s="98" t="str">
        <f t="shared" si="43"/>
        <v>Desarrollo del Sistema de Educación Superior</v>
      </c>
      <c r="K691" s="98" t="s">
        <v>410</v>
      </c>
    </row>
    <row r="692" spans="3:11" x14ac:dyDescent="0.25">
      <c r="C692" s="143"/>
      <c r="D692" s="151"/>
      <c r="E692" s="118"/>
      <c r="F692" s="97">
        <f t="shared" si="42"/>
        <v>0</v>
      </c>
      <c r="G692" s="161"/>
      <c r="H692" s="144"/>
      <c r="I692" s="130" t="e">
        <f>VLOOKUP(H692,Presupuesto!$B$11:$C$565,2,0)</f>
        <v>#N/A</v>
      </c>
      <c r="J692" s="98" t="str">
        <f t="shared" si="43"/>
        <v>Desarrollo del Sistema de Educación Superior</v>
      </c>
      <c r="K692" s="98" t="s">
        <v>410</v>
      </c>
    </row>
    <row r="693" spans="3:11" x14ac:dyDescent="0.25">
      <c r="C693" s="143"/>
      <c r="D693" s="151"/>
      <c r="E693" s="118"/>
      <c r="F693" s="97">
        <f t="shared" si="42"/>
        <v>0</v>
      </c>
      <c r="G693" s="161"/>
      <c r="H693" s="144"/>
      <c r="I693" s="130" t="e">
        <f>VLOOKUP(H693,Presupuesto!$B$11:$C$565,2,0)</f>
        <v>#N/A</v>
      </c>
      <c r="J693" s="98" t="str">
        <f t="shared" si="43"/>
        <v>Desarrollo del Sistema de Educación Superior</v>
      </c>
      <c r="K693" s="98" t="s">
        <v>410</v>
      </c>
    </row>
    <row r="694" spans="3:11" x14ac:dyDescent="0.25">
      <c r="C694" s="143"/>
      <c r="D694" s="151"/>
      <c r="E694" s="118"/>
      <c r="F694" s="97">
        <f t="shared" si="42"/>
        <v>0</v>
      </c>
      <c r="G694" s="161"/>
      <c r="H694" s="144"/>
      <c r="I694" s="130" t="e">
        <f>VLOOKUP(H694,Presupuesto!$B$11:$C$565,2,0)</f>
        <v>#N/A</v>
      </c>
      <c r="J694" s="98" t="str">
        <f t="shared" si="43"/>
        <v>Desarrollo del Sistema de Educación Superior</v>
      </c>
      <c r="K694" s="98" t="s">
        <v>410</v>
      </c>
    </row>
    <row r="695" spans="3:11" x14ac:dyDescent="0.25">
      <c r="C695" s="145"/>
      <c r="D695" s="151"/>
      <c r="E695" s="118"/>
      <c r="F695" s="97">
        <f t="shared" si="42"/>
        <v>0</v>
      </c>
      <c r="G695" s="161"/>
      <c r="H695" s="146"/>
      <c r="I695" s="130" t="e">
        <f>VLOOKUP(H695,Presupuesto!$B$11:$C$565,2,0)</f>
        <v>#N/A</v>
      </c>
      <c r="J695" s="98" t="str">
        <f t="shared" si="43"/>
        <v>Desarrollo del Sistema de Educación Superior</v>
      </c>
      <c r="K695" s="98" t="s">
        <v>401</v>
      </c>
    </row>
    <row r="696" spans="3:11" x14ac:dyDescent="0.25">
      <c r="C696" s="145"/>
      <c r="D696" s="151"/>
      <c r="E696" s="118"/>
      <c r="F696" s="97">
        <f t="shared" si="42"/>
        <v>0</v>
      </c>
      <c r="G696" s="161"/>
      <c r="H696" s="146"/>
      <c r="I696" s="130" t="e">
        <f>VLOOKUP(H696,Presupuesto!$B$11:$C$565,2,0)</f>
        <v>#N/A</v>
      </c>
      <c r="J696" s="98" t="str">
        <f t="shared" si="43"/>
        <v>Desarrollo del Sistema de Educación Superior</v>
      </c>
      <c r="K696" s="98" t="s">
        <v>410</v>
      </c>
    </row>
    <row r="697" spans="3:11" x14ac:dyDescent="0.25">
      <c r="C697" s="145"/>
      <c r="D697" s="151"/>
      <c r="E697" s="118"/>
      <c r="F697" s="97">
        <f t="shared" si="42"/>
        <v>0</v>
      </c>
      <c r="G697" s="161"/>
      <c r="H697" s="146"/>
      <c r="I697" s="130" t="e">
        <f>VLOOKUP(H697,Presupuesto!$B$11:$C$565,2,0)</f>
        <v>#N/A</v>
      </c>
      <c r="J697" s="98" t="str">
        <f t="shared" si="43"/>
        <v>Desarrollo del Sistema de Educación Superior</v>
      </c>
      <c r="K697" s="98" t="s">
        <v>410</v>
      </c>
    </row>
    <row r="698" spans="3:11" x14ac:dyDescent="0.25">
      <c r="C698" s="145"/>
      <c r="D698" s="151"/>
      <c r="E698" s="118"/>
      <c r="F698" s="97">
        <f t="shared" si="42"/>
        <v>0</v>
      </c>
      <c r="G698" s="161"/>
      <c r="H698" s="146"/>
      <c r="I698" s="130" t="e">
        <f>VLOOKUP(H698,Presupuesto!$B$11:$C$565,2,0)</f>
        <v>#N/A</v>
      </c>
      <c r="J698" s="98" t="str">
        <f t="shared" si="43"/>
        <v>Desarrollo del Sistema de Educación Superior</v>
      </c>
      <c r="K698" s="98" t="s">
        <v>410</v>
      </c>
    </row>
    <row r="699" spans="3:11" ht="15.75" thickBot="1" x14ac:dyDescent="0.3">
      <c r="C699" s="147"/>
      <c r="D699" s="159"/>
      <c r="E699" s="103"/>
      <c r="F699" s="105">
        <f t="shared" si="42"/>
        <v>0</v>
      </c>
      <c r="G699" s="162"/>
      <c r="H699" s="148"/>
      <c r="I699" s="132" t="e">
        <f>VLOOKUP(H699,Presupuesto!$B$11:$C$565,2,0)</f>
        <v>#N/A</v>
      </c>
      <c r="J699" s="106" t="str">
        <f t="shared" si="43"/>
        <v>Desarrollo del Sistema de Educación Superior</v>
      </c>
      <c r="K699" s="124" t="s">
        <v>392</v>
      </c>
    </row>
    <row r="701" spans="3:11" ht="15.75" thickBot="1" x14ac:dyDescent="0.3">
      <c r="F701" s="90"/>
      <c r="G701" s="89"/>
      <c r="H701" s="90"/>
      <c r="I701" s="90"/>
    </row>
    <row r="702" spans="3:11" ht="15.75" thickBot="1" x14ac:dyDescent="0.3">
      <c r="C702" s="157" t="s">
        <v>53</v>
      </c>
      <c r="D702" s="372">
        <f>SUM(F709:F743)</f>
        <v>0</v>
      </c>
      <c r="F702" s="70"/>
      <c r="G702" s="79"/>
      <c r="H702" s="70"/>
      <c r="I702" s="70"/>
    </row>
    <row r="703" spans="3:11" x14ac:dyDescent="0.25">
      <c r="C703" s="70"/>
      <c r="D703" s="31"/>
      <c r="E703" s="93"/>
      <c r="F703" s="93"/>
      <c r="G703" s="93"/>
      <c r="H703" s="76"/>
      <c r="I703" s="76"/>
      <c r="J703" s="76"/>
      <c r="K703" s="112"/>
    </row>
    <row r="704" spans="3:11" x14ac:dyDescent="0.25">
      <c r="C704" s="70"/>
      <c r="D704" s="31"/>
      <c r="E704" s="93"/>
      <c r="F704" s="93"/>
      <c r="G704" s="93"/>
      <c r="H704" s="76"/>
      <c r="I704" s="76"/>
      <c r="J704" s="76"/>
      <c r="K704" s="112"/>
    </row>
    <row r="705" spans="3:11" ht="15.75" x14ac:dyDescent="0.25">
      <c r="C705" s="202" t="s">
        <v>390</v>
      </c>
      <c r="D705" s="368"/>
      <c r="E705" s="93"/>
      <c r="F705" s="93"/>
      <c r="G705" s="93"/>
      <c r="H705" s="76"/>
      <c r="I705" s="76"/>
      <c r="J705" s="76"/>
      <c r="K705" s="112"/>
    </row>
    <row r="706" spans="3:11" ht="18.75" x14ac:dyDescent="0.25">
      <c r="C706" s="210" t="e">
        <f>IFERROR(VLOOKUP(D705,'1. Desarrollo e Innov. Curricu.'!$F:$G,2,FALSE),IFERROR(VLOOKUP(D705,'2. Investigación Científica'!$F:$G,2,FALSE),IFERROR(VLOOKUP(D705,'3. Vinculación Univ. Sociedad'!$F:$G,2,FALSE),IFERROR(VLOOKUP(D705,'4. Docencia y Profesorado Univ.'!$F:$G,2,FALSE),IFERROR(VLOOKUP(D705,'5. Estudiantes y Graduados'!$F:$G,2,FALSE),IFERROR(VLOOKUP(D705,'11. Gestion Administrativa'!$F:$G,2,FALSE),IFERROR(VLOOKUP(D705,'13. Gestión Académica'!$F:$G,2,FALSE),IFERROR(VLOOKUP(D705,'9. Asegura. de la Calid. y M'!$F:$G,2,FALSE),IFERROR(VLOOKUP(D705,'6. Gestión del Conocimiento'!$F:$G,2,FALSE),IFERROR(VLOOKUP(D705,'15. Gobernabilidad y Proceso...'!$G:$H,2,FALSE),IFERROR(VLOOKUP(D705,'12. Gestión del Talento Humano'!$F:$G,2,FALSE),IFERROR(VLOOKUP(D705,'14. Internacional... de la E.S.'!$F:$G,2,FALSE),IFERROR(VLOOKUP(D705,'10. Posgrado'!$F:$G,2,FALSE),IFERROR(VLOOKUP(D705,'17. Gestión TIC'!$F:$G,2,FALSE),IFERROR(VLOOKUP(D705,'16. Desa. del Sistema Educ.Sup.'!$F:$G,2,FALSE),IFERROR(VLOOKUP(D705,'8. Cultura de Inno. Insti...'!$F:$G,2,FALSE),VLOOKUP(D705,'7. Lo Esencial de la Reforma U.'!$G:$H,2,0)))))))))))))))))</f>
        <v>#N/A</v>
      </c>
      <c r="D706" s="31"/>
      <c r="E706" s="93"/>
      <c r="F706" s="93"/>
      <c r="G706" s="93"/>
      <c r="H706" s="76"/>
      <c r="I706" s="76"/>
      <c r="J706" s="76"/>
      <c r="K706" s="112"/>
    </row>
    <row r="707" spans="3:11" ht="15.75" thickBot="1" x14ac:dyDescent="0.3">
      <c r="F707" s="93"/>
      <c r="G707" s="76"/>
      <c r="H707" s="76"/>
      <c r="I707" s="76"/>
    </row>
    <row r="708" spans="3:11" ht="15.75" thickBot="1" x14ac:dyDescent="0.3">
      <c r="C708" s="129" t="s">
        <v>44</v>
      </c>
      <c r="D708" s="129" t="s">
        <v>55</v>
      </c>
      <c r="E708" s="136" t="s">
        <v>57</v>
      </c>
      <c r="F708" s="135" t="s">
        <v>27</v>
      </c>
      <c r="G708" s="133" t="s">
        <v>129</v>
      </c>
      <c r="H708" s="136" t="s">
        <v>46</v>
      </c>
      <c r="I708" s="133" t="s">
        <v>130</v>
      </c>
      <c r="J708" s="133" t="s">
        <v>408</v>
      </c>
      <c r="K708" s="133" t="s">
        <v>409</v>
      </c>
    </row>
    <row r="709" spans="3:11" x14ac:dyDescent="0.25">
      <c r="C709" s="220" t="s">
        <v>437</v>
      </c>
      <c r="D709" s="221"/>
      <c r="E709" s="219">
        <f>HLOOKUP(C709,$AH$2:$BU$3,2,0)</f>
        <v>620</v>
      </c>
      <c r="F709" s="97">
        <f t="shared" ref="F709:F743" si="44">D709*E709</f>
        <v>0</v>
      </c>
      <c r="G709" s="161"/>
      <c r="H709" s="142"/>
      <c r="I709" s="130" t="e">
        <f>VLOOKUP(H709,Presupuesto!$B$11:$C$565,2,0)</f>
        <v>#N/A</v>
      </c>
      <c r="J709" s="218" t="s">
        <v>1468</v>
      </c>
      <c r="K709" s="98" t="s">
        <v>392</v>
      </c>
    </row>
    <row r="710" spans="3:11" x14ac:dyDescent="0.25">
      <c r="C710" s="141"/>
      <c r="D710" s="158"/>
      <c r="E710" s="123"/>
      <c r="F710" s="97">
        <f t="shared" si="44"/>
        <v>0</v>
      </c>
      <c r="G710" s="161"/>
      <c r="H710" s="142"/>
      <c r="I710" s="130" t="e">
        <f>VLOOKUP(H710,Presupuesto!$B$11:$C$565,2,0)</f>
        <v>#N/A</v>
      </c>
      <c r="J710" s="98" t="str">
        <f>$J$709</f>
        <v>Desarrollo del Sistema de Educación Superior</v>
      </c>
      <c r="K710" s="98" t="s">
        <v>410</v>
      </c>
    </row>
    <row r="711" spans="3:11" x14ac:dyDescent="0.25">
      <c r="C711" s="141"/>
      <c r="D711" s="158"/>
      <c r="E711" s="123"/>
      <c r="F711" s="97">
        <f t="shared" si="44"/>
        <v>0</v>
      </c>
      <c r="G711" s="161"/>
      <c r="H711" s="142"/>
      <c r="I711" s="130" t="e">
        <f>VLOOKUP(H711,Presupuesto!$B$11:$C$565,2,0)</f>
        <v>#N/A</v>
      </c>
      <c r="J711" s="98" t="str">
        <f t="shared" ref="J711:J743" si="45">$J$709</f>
        <v>Desarrollo del Sistema de Educación Superior</v>
      </c>
      <c r="K711" s="98" t="s">
        <v>410</v>
      </c>
    </row>
    <row r="712" spans="3:11" x14ac:dyDescent="0.25">
      <c r="C712" s="141"/>
      <c r="D712" s="158"/>
      <c r="E712" s="123"/>
      <c r="F712" s="97">
        <f t="shared" si="44"/>
        <v>0</v>
      </c>
      <c r="G712" s="161"/>
      <c r="H712" s="142"/>
      <c r="I712" s="130" t="e">
        <f>VLOOKUP(H712,Presupuesto!$B$11:$C$565,2,0)</f>
        <v>#N/A</v>
      </c>
      <c r="J712" s="98" t="str">
        <f t="shared" si="45"/>
        <v>Desarrollo del Sistema de Educación Superior</v>
      </c>
      <c r="K712" s="98" t="s">
        <v>410</v>
      </c>
    </row>
    <row r="713" spans="3:11" x14ac:dyDescent="0.25">
      <c r="C713" s="141"/>
      <c r="D713" s="158"/>
      <c r="E713" s="123"/>
      <c r="F713" s="97">
        <f t="shared" si="44"/>
        <v>0</v>
      </c>
      <c r="G713" s="161"/>
      <c r="H713" s="142"/>
      <c r="I713" s="130" t="e">
        <f>VLOOKUP(H713,Presupuesto!$B$11:$C$565,2,0)</f>
        <v>#N/A</v>
      </c>
      <c r="J713" s="98" t="str">
        <f t="shared" si="45"/>
        <v>Desarrollo del Sistema de Educación Superior</v>
      </c>
      <c r="K713" s="98" t="s">
        <v>410</v>
      </c>
    </row>
    <row r="714" spans="3:11" x14ac:dyDescent="0.25">
      <c r="C714" s="141"/>
      <c r="D714" s="158"/>
      <c r="E714" s="123"/>
      <c r="F714" s="97">
        <f t="shared" si="44"/>
        <v>0</v>
      </c>
      <c r="G714" s="161"/>
      <c r="H714" s="142"/>
      <c r="I714" s="130" t="e">
        <f>VLOOKUP(H714,Presupuesto!$B$11:$C$565,2,0)</f>
        <v>#N/A</v>
      </c>
      <c r="J714" s="98" t="str">
        <f t="shared" si="45"/>
        <v>Desarrollo del Sistema de Educación Superior</v>
      </c>
      <c r="K714" s="98" t="s">
        <v>399</v>
      </c>
    </row>
    <row r="715" spans="3:11" x14ac:dyDescent="0.25">
      <c r="C715" s="141"/>
      <c r="D715" s="158"/>
      <c r="E715" s="123"/>
      <c r="F715" s="97">
        <f t="shared" si="44"/>
        <v>0</v>
      </c>
      <c r="G715" s="161"/>
      <c r="H715" s="142"/>
      <c r="I715" s="130" t="e">
        <f>VLOOKUP(H715,Presupuesto!$B$11:$C$565,2,0)</f>
        <v>#N/A</v>
      </c>
      <c r="J715" s="98" t="str">
        <f t="shared" si="45"/>
        <v>Desarrollo del Sistema de Educación Superior</v>
      </c>
      <c r="K715" s="98" t="s">
        <v>410</v>
      </c>
    </row>
    <row r="716" spans="3:11" x14ac:dyDescent="0.25">
      <c r="C716" s="141"/>
      <c r="D716" s="158"/>
      <c r="E716" s="123"/>
      <c r="F716" s="97">
        <f t="shared" si="44"/>
        <v>0</v>
      </c>
      <c r="G716" s="161"/>
      <c r="H716" s="142"/>
      <c r="I716" s="130" t="e">
        <f>VLOOKUP(H716,Presupuesto!$B$11:$C$565,2,0)</f>
        <v>#N/A</v>
      </c>
      <c r="J716" s="98" t="str">
        <f t="shared" si="45"/>
        <v>Desarrollo del Sistema de Educación Superior</v>
      </c>
      <c r="K716" s="98" t="s">
        <v>410</v>
      </c>
    </row>
    <row r="717" spans="3:11" x14ac:dyDescent="0.25">
      <c r="C717" s="141"/>
      <c r="D717" s="158"/>
      <c r="E717" s="123"/>
      <c r="F717" s="97">
        <f t="shared" si="44"/>
        <v>0</v>
      </c>
      <c r="G717" s="161"/>
      <c r="H717" s="142"/>
      <c r="I717" s="130" t="e">
        <f>VLOOKUP(H717,Presupuesto!$B$11:$C$565,2,0)</f>
        <v>#N/A</v>
      </c>
      <c r="J717" s="98" t="str">
        <f t="shared" si="45"/>
        <v>Desarrollo del Sistema de Educación Superior</v>
      </c>
      <c r="K717" s="98" t="s">
        <v>410</v>
      </c>
    </row>
    <row r="718" spans="3:11" x14ac:dyDescent="0.25">
      <c r="C718" s="141"/>
      <c r="D718" s="158"/>
      <c r="E718" s="123"/>
      <c r="F718" s="97">
        <f t="shared" si="44"/>
        <v>0</v>
      </c>
      <c r="G718" s="161"/>
      <c r="H718" s="142"/>
      <c r="I718" s="130" t="e">
        <f>VLOOKUP(H718,Presupuesto!$B$11:$C$565,2,0)</f>
        <v>#N/A</v>
      </c>
      <c r="J718" s="98" t="str">
        <f t="shared" si="45"/>
        <v>Desarrollo del Sistema de Educación Superior</v>
      </c>
      <c r="K718" s="98" t="s">
        <v>410</v>
      </c>
    </row>
    <row r="719" spans="3:11" x14ac:dyDescent="0.25">
      <c r="C719" s="141"/>
      <c r="D719" s="158"/>
      <c r="E719" s="123"/>
      <c r="F719" s="97">
        <f t="shared" si="44"/>
        <v>0</v>
      </c>
      <c r="G719" s="161"/>
      <c r="H719" s="142"/>
      <c r="I719" s="130" t="e">
        <f>VLOOKUP(H719,Presupuesto!$B$11:$C$565,2,0)</f>
        <v>#N/A</v>
      </c>
      <c r="J719" s="98" t="str">
        <f t="shared" si="45"/>
        <v>Desarrollo del Sistema de Educación Superior</v>
      </c>
      <c r="K719" s="98" t="s">
        <v>410</v>
      </c>
    </row>
    <row r="720" spans="3:11" x14ac:dyDescent="0.25">
      <c r="C720" s="141"/>
      <c r="D720" s="158"/>
      <c r="E720" s="123"/>
      <c r="F720" s="97">
        <f t="shared" si="44"/>
        <v>0</v>
      </c>
      <c r="G720" s="161"/>
      <c r="H720" s="142"/>
      <c r="I720" s="130" t="e">
        <f>VLOOKUP(H720,Presupuesto!$B$11:$C$565,2,0)</f>
        <v>#N/A</v>
      </c>
      <c r="J720" s="98" t="str">
        <f t="shared" si="45"/>
        <v>Desarrollo del Sistema de Educación Superior</v>
      </c>
      <c r="K720" s="98" t="s">
        <v>410</v>
      </c>
    </row>
    <row r="721" spans="3:11" x14ac:dyDescent="0.25">
      <c r="C721" s="141"/>
      <c r="D721" s="158"/>
      <c r="E721" s="123"/>
      <c r="F721" s="97">
        <f t="shared" si="44"/>
        <v>0</v>
      </c>
      <c r="G721" s="161"/>
      <c r="H721" s="142"/>
      <c r="I721" s="130" t="e">
        <f>VLOOKUP(H721,Presupuesto!$B$11:$C$565,2,0)</f>
        <v>#N/A</v>
      </c>
      <c r="J721" s="98" t="str">
        <f t="shared" si="45"/>
        <v>Desarrollo del Sistema de Educación Superior</v>
      </c>
      <c r="K721" s="98" t="s">
        <v>410</v>
      </c>
    </row>
    <row r="722" spans="3:11" x14ac:dyDescent="0.25">
      <c r="C722" s="141"/>
      <c r="D722" s="158"/>
      <c r="E722" s="123"/>
      <c r="F722" s="97">
        <f t="shared" si="44"/>
        <v>0</v>
      </c>
      <c r="G722" s="161"/>
      <c r="H722" s="142"/>
      <c r="I722" s="130" t="e">
        <f>VLOOKUP(H722,Presupuesto!$B$11:$C$565,2,0)</f>
        <v>#N/A</v>
      </c>
      <c r="J722" s="98" t="str">
        <f t="shared" si="45"/>
        <v>Desarrollo del Sistema de Educación Superior</v>
      </c>
      <c r="K722" s="98" t="s">
        <v>410</v>
      </c>
    </row>
    <row r="723" spans="3:11" x14ac:dyDescent="0.25">
      <c r="C723" s="141"/>
      <c r="D723" s="158"/>
      <c r="E723" s="123"/>
      <c r="F723" s="97">
        <f t="shared" si="44"/>
        <v>0</v>
      </c>
      <c r="G723" s="161"/>
      <c r="H723" s="142"/>
      <c r="I723" s="130" t="e">
        <f>VLOOKUP(H723,Presupuesto!$B$11:$C$565,2,0)</f>
        <v>#N/A</v>
      </c>
      <c r="J723" s="98" t="str">
        <f t="shared" si="45"/>
        <v>Desarrollo del Sistema de Educación Superior</v>
      </c>
      <c r="K723" s="98" t="s">
        <v>410</v>
      </c>
    </row>
    <row r="724" spans="3:11" x14ac:dyDescent="0.25">
      <c r="C724" s="141"/>
      <c r="D724" s="158"/>
      <c r="E724" s="123"/>
      <c r="F724" s="97">
        <f t="shared" si="44"/>
        <v>0</v>
      </c>
      <c r="G724" s="161"/>
      <c r="H724" s="142"/>
      <c r="I724" s="130" t="e">
        <f>VLOOKUP(H724,Presupuesto!$B$11:$C$565,2,0)</f>
        <v>#N/A</v>
      </c>
      <c r="J724" s="98" t="str">
        <f t="shared" si="45"/>
        <v>Desarrollo del Sistema de Educación Superior</v>
      </c>
      <c r="K724" s="98" t="s">
        <v>410</v>
      </c>
    </row>
    <row r="725" spans="3:11" x14ac:dyDescent="0.25">
      <c r="C725" s="141"/>
      <c r="D725" s="158"/>
      <c r="E725" s="123"/>
      <c r="F725" s="97">
        <f t="shared" si="44"/>
        <v>0</v>
      </c>
      <c r="G725" s="161"/>
      <c r="H725" s="142"/>
      <c r="I725" s="130" t="e">
        <f>VLOOKUP(H725,Presupuesto!$B$11:$C$565,2,0)</f>
        <v>#N/A</v>
      </c>
      <c r="J725" s="98" t="str">
        <f t="shared" si="45"/>
        <v>Desarrollo del Sistema de Educación Superior</v>
      </c>
      <c r="K725" s="98" t="s">
        <v>410</v>
      </c>
    </row>
    <row r="726" spans="3:11" x14ac:dyDescent="0.25">
      <c r="C726" s="141"/>
      <c r="D726" s="158"/>
      <c r="E726" s="123"/>
      <c r="F726" s="97">
        <f t="shared" si="44"/>
        <v>0</v>
      </c>
      <c r="G726" s="161"/>
      <c r="H726" s="142"/>
      <c r="I726" s="130" t="e">
        <f>VLOOKUP(H726,Presupuesto!$B$11:$C$565,2,0)</f>
        <v>#N/A</v>
      </c>
      <c r="J726" s="98" t="str">
        <f t="shared" si="45"/>
        <v>Desarrollo del Sistema de Educación Superior</v>
      </c>
      <c r="K726" s="98" t="s">
        <v>410</v>
      </c>
    </row>
    <row r="727" spans="3:11" x14ac:dyDescent="0.25">
      <c r="C727" s="141"/>
      <c r="D727" s="158"/>
      <c r="E727" s="123"/>
      <c r="F727" s="97">
        <f t="shared" si="44"/>
        <v>0</v>
      </c>
      <c r="G727" s="161"/>
      <c r="H727" s="142"/>
      <c r="I727" s="130" t="e">
        <f>VLOOKUP(H727,Presupuesto!$B$11:$C$565,2,0)</f>
        <v>#N/A</v>
      </c>
      <c r="J727" s="98" t="str">
        <f t="shared" si="45"/>
        <v>Desarrollo del Sistema de Educación Superior</v>
      </c>
      <c r="K727" s="98" t="s">
        <v>410</v>
      </c>
    </row>
    <row r="728" spans="3:11" x14ac:dyDescent="0.25">
      <c r="C728" s="141"/>
      <c r="D728" s="158"/>
      <c r="E728" s="123"/>
      <c r="F728" s="97">
        <f t="shared" si="44"/>
        <v>0</v>
      </c>
      <c r="G728" s="161"/>
      <c r="H728" s="142"/>
      <c r="I728" s="130" t="e">
        <f>VLOOKUP(H728,Presupuesto!$B$11:$C$565,2,0)</f>
        <v>#N/A</v>
      </c>
      <c r="J728" s="98" t="str">
        <f t="shared" si="45"/>
        <v>Desarrollo del Sistema de Educación Superior</v>
      </c>
      <c r="K728" s="98" t="s">
        <v>410</v>
      </c>
    </row>
    <row r="729" spans="3:11" x14ac:dyDescent="0.25">
      <c r="C729" s="141"/>
      <c r="D729" s="158"/>
      <c r="E729" s="123"/>
      <c r="F729" s="97">
        <f t="shared" si="44"/>
        <v>0</v>
      </c>
      <c r="G729" s="161"/>
      <c r="H729" s="142"/>
      <c r="I729" s="130" t="e">
        <f>VLOOKUP(H729,Presupuesto!$B$11:$C$565,2,0)</f>
        <v>#N/A</v>
      </c>
      <c r="J729" s="98" t="str">
        <f t="shared" si="45"/>
        <v>Desarrollo del Sistema de Educación Superior</v>
      </c>
      <c r="K729" s="98" t="s">
        <v>410</v>
      </c>
    </row>
    <row r="730" spans="3:11" x14ac:dyDescent="0.25">
      <c r="C730" s="141"/>
      <c r="D730" s="158"/>
      <c r="E730" s="123"/>
      <c r="F730" s="97">
        <f t="shared" si="44"/>
        <v>0</v>
      </c>
      <c r="G730" s="161"/>
      <c r="H730" s="142"/>
      <c r="I730" s="130" t="e">
        <f>VLOOKUP(H730,Presupuesto!$B$11:$C$565,2,0)</f>
        <v>#N/A</v>
      </c>
      <c r="J730" s="98" t="str">
        <f t="shared" si="45"/>
        <v>Desarrollo del Sistema de Educación Superior</v>
      </c>
      <c r="K730" s="98" t="s">
        <v>410</v>
      </c>
    </row>
    <row r="731" spans="3:11" x14ac:dyDescent="0.25">
      <c r="C731" s="143"/>
      <c r="D731" s="151"/>
      <c r="E731" s="118"/>
      <c r="F731" s="97">
        <f t="shared" si="44"/>
        <v>0</v>
      </c>
      <c r="G731" s="161"/>
      <c r="H731" s="144"/>
      <c r="I731" s="130" t="e">
        <f>VLOOKUP(H731,Presupuesto!$B$11:$C$565,2,0)</f>
        <v>#N/A</v>
      </c>
      <c r="J731" s="98" t="str">
        <f t="shared" si="45"/>
        <v>Desarrollo del Sistema de Educación Superior</v>
      </c>
      <c r="K731" s="98" t="s">
        <v>410</v>
      </c>
    </row>
    <row r="732" spans="3:11" x14ac:dyDescent="0.25">
      <c r="C732" s="143"/>
      <c r="D732" s="151"/>
      <c r="E732" s="118"/>
      <c r="F732" s="97">
        <f t="shared" si="44"/>
        <v>0</v>
      </c>
      <c r="G732" s="161"/>
      <c r="H732" s="144"/>
      <c r="I732" s="130" t="e">
        <f>VLOOKUP(H732,Presupuesto!$B$11:$C$565,2,0)</f>
        <v>#N/A</v>
      </c>
      <c r="J732" s="98" t="str">
        <f t="shared" si="45"/>
        <v>Desarrollo del Sistema de Educación Superior</v>
      </c>
      <c r="K732" s="98" t="s">
        <v>410</v>
      </c>
    </row>
    <row r="733" spans="3:11" x14ac:dyDescent="0.25">
      <c r="C733" s="143"/>
      <c r="D733" s="151"/>
      <c r="E733" s="118"/>
      <c r="F733" s="97">
        <f t="shared" si="44"/>
        <v>0</v>
      </c>
      <c r="G733" s="161"/>
      <c r="H733" s="144"/>
      <c r="I733" s="130" t="e">
        <f>VLOOKUP(H733,Presupuesto!$B$11:$C$565,2,0)</f>
        <v>#N/A</v>
      </c>
      <c r="J733" s="98" t="str">
        <f t="shared" si="45"/>
        <v>Desarrollo del Sistema de Educación Superior</v>
      </c>
      <c r="K733" s="98" t="s">
        <v>410</v>
      </c>
    </row>
    <row r="734" spans="3:11" x14ac:dyDescent="0.25">
      <c r="C734" s="143"/>
      <c r="D734" s="151"/>
      <c r="E734" s="118"/>
      <c r="F734" s="97">
        <f t="shared" si="44"/>
        <v>0</v>
      </c>
      <c r="G734" s="161"/>
      <c r="H734" s="144"/>
      <c r="I734" s="130" t="e">
        <f>VLOOKUP(H734,Presupuesto!$B$11:$C$565,2,0)</f>
        <v>#N/A</v>
      </c>
      <c r="J734" s="98" t="str">
        <f t="shared" si="45"/>
        <v>Desarrollo del Sistema de Educación Superior</v>
      </c>
      <c r="K734" s="98" t="s">
        <v>410</v>
      </c>
    </row>
    <row r="735" spans="3:11" x14ac:dyDescent="0.25">
      <c r="C735" s="143"/>
      <c r="D735" s="151"/>
      <c r="E735" s="118"/>
      <c r="F735" s="97">
        <f t="shared" si="44"/>
        <v>0</v>
      </c>
      <c r="G735" s="161"/>
      <c r="H735" s="144"/>
      <c r="I735" s="130" t="e">
        <f>VLOOKUP(H735,Presupuesto!$B$11:$C$565,2,0)</f>
        <v>#N/A</v>
      </c>
      <c r="J735" s="98" t="str">
        <f t="shared" si="45"/>
        <v>Desarrollo del Sistema de Educación Superior</v>
      </c>
      <c r="K735" s="98" t="s">
        <v>410</v>
      </c>
    </row>
    <row r="736" spans="3:11" x14ac:dyDescent="0.25">
      <c r="C736" s="143"/>
      <c r="D736" s="151"/>
      <c r="E736" s="118"/>
      <c r="F736" s="97">
        <f t="shared" si="44"/>
        <v>0</v>
      </c>
      <c r="G736" s="161"/>
      <c r="H736" s="144"/>
      <c r="I736" s="130" t="e">
        <f>VLOOKUP(H736,Presupuesto!$B$11:$C$565,2,0)</f>
        <v>#N/A</v>
      </c>
      <c r="J736" s="98" t="str">
        <f t="shared" si="45"/>
        <v>Desarrollo del Sistema de Educación Superior</v>
      </c>
      <c r="K736" s="98" t="s">
        <v>410</v>
      </c>
    </row>
    <row r="737" spans="3:11" x14ac:dyDescent="0.25">
      <c r="C737" s="143"/>
      <c r="D737" s="151"/>
      <c r="E737" s="118"/>
      <c r="F737" s="97">
        <f t="shared" si="44"/>
        <v>0</v>
      </c>
      <c r="G737" s="161"/>
      <c r="H737" s="144"/>
      <c r="I737" s="130" t="e">
        <f>VLOOKUP(H737,Presupuesto!$B$11:$C$565,2,0)</f>
        <v>#N/A</v>
      </c>
      <c r="J737" s="98" t="str">
        <f t="shared" si="45"/>
        <v>Desarrollo del Sistema de Educación Superior</v>
      </c>
      <c r="K737" s="98" t="s">
        <v>410</v>
      </c>
    </row>
    <row r="738" spans="3:11" x14ac:dyDescent="0.25">
      <c r="C738" s="143"/>
      <c r="D738" s="151"/>
      <c r="E738" s="118"/>
      <c r="F738" s="97">
        <f t="shared" si="44"/>
        <v>0</v>
      </c>
      <c r="G738" s="161"/>
      <c r="H738" s="144"/>
      <c r="I738" s="130" t="e">
        <f>VLOOKUP(H738,Presupuesto!$B$11:$C$565,2,0)</f>
        <v>#N/A</v>
      </c>
      <c r="J738" s="98" t="str">
        <f t="shared" si="45"/>
        <v>Desarrollo del Sistema de Educación Superior</v>
      </c>
      <c r="K738" s="98" t="s">
        <v>410</v>
      </c>
    </row>
    <row r="739" spans="3:11" x14ac:dyDescent="0.25">
      <c r="C739" s="145"/>
      <c r="D739" s="151"/>
      <c r="E739" s="118"/>
      <c r="F739" s="97">
        <f t="shared" si="44"/>
        <v>0</v>
      </c>
      <c r="G739" s="161"/>
      <c r="H739" s="146"/>
      <c r="I739" s="130" t="e">
        <f>VLOOKUP(H739,Presupuesto!$B$11:$C$565,2,0)</f>
        <v>#N/A</v>
      </c>
      <c r="J739" s="98" t="str">
        <f t="shared" si="45"/>
        <v>Desarrollo del Sistema de Educación Superior</v>
      </c>
      <c r="K739" s="98" t="s">
        <v>401</v>
      </c>
    </row>
    <row r="740" spans="3:11" x14ac:dyDescent="0.25">
      <c r="C740" s="145"/>
      <c r="D740" s="151"/>
      <c r="E740" s="118"/>
      <c r="F740" s="97">
        <f t="shared" si="44"/>
        <v>0</v>
      </c>
      <c r="G740" s="161"/>
      <c r="H740" s="146"/>
      <c r="I740" s="130" t="e">
        <f>VLOOKUP(H740,Presupuesto!$B$11:$C$565,2,0)</f>
        <v>#N/A</v>
      </c>
      <c r="J740" s="98" t="str">
        <f t="shared" si="45"/>
        <v>Desarrollo del Sistema de Educación Superior</v>
      </c>
      <c r="K740" s="98" t="s">
        <v>410</v>
      </c>
    </row>
    <row r="741" spans="3:11" x14ac:dyDescent="0.25">
      <c r="C741" s="145"/>
      <c r="D741" s="151"/>
      <c r="E741" s="118"/>
      <c r="F741" s="97">
        <f t="shared" si="44"/>
        <v>0</v>
      </c>
      <c r="G741" s="161"/>
      <c r="H741" s="146"/>
      <c r="I741" s="130" t="e">
        <f>VLOOKUP(H741,Presupuesto!$B$11:$C$565,2,0)</f>
        <v>#N/A</v>
      </c>
      <c r="J741" s="98" t="str">
        <f t="shared" si="45"/>
        <v>Desarrollo del Sistema de Educación Superior</v>
      </c>
      <c r="K741" s="98" t="s">
        <v>410</v>
      </c>
    </row>
    <row r="742" spans="3:11" x14ac:dyDescent="0.25">
      <c r="C742" s="145"/>
      <c r="D742" s="151"/>
      <c r="E742" s="118"/>
      <c r="F742" s="97">
        <f t="shared" si="44"/>
        <v>0</v>
      </c>
      <c r="G742" s="161"/>
      <c r="H742" s="146"/>
      <c r="I742" s="130" t="e">
        <f>VLOOKUP(H742,Presupuesto!$B$11:$C$565,2,0)</f>
        <v>#N/A</v>
      </c>
      <c r="J742" s="98" t="str">
        <f t="shared" si="45"/>
        <v>Desarrollo del Sistema de Educación Superior</v>
      </c>
      <c r="K742" s="98" t="s">
        <v>410</v>
      </c>
    </row>
    <row r="743" spans="3:11" ht="15.75" thickBot="1" x14ac:dyDescent="0.3">
      <c r="C743" s="147"/>
      <c r="D743" s="159"/>
      <c r="E743" s="103"/>
      <c r="F743" s="105">
        <f t="shared" si="44"/>
        <v>0</v>
      </c>
      <c r="G743" s="162"/>
      <c r="H743" s="148"/>
      <c r="I743" s="132" t="e">
        <f>VLOOKUP(H743,Presupuesto!$B$11:$C$565,2,0)</f>
        <v>#N/A</v>
      </c>
      <c r="J743" s="106" t="str">
        <f t="shared" si="45"/>
        <v>Desarrollo del Sistema de Educación Superior</v>
      </c>
      <c r="K743" s="124" t="s">
        <v>392</v>
      </c>
    </row>
  </sheetData>
  <dataConsolidate/>
  <dataValidations xWindow="238" yWindow="836" count="6">
    <dataValidation type="list" allowBlank="1" showInputMessage="1" showErrorMessage="1" errorTitle="¡Ingreso Inválido!" error="Seleccione una opción de la lista." promptTitle="Tipo de Presupuesto" prompt="Seleccione una opción de la lista." sqref="G709:G743 G17:G24 G74:G84 G136:G170 G120:G126 G225:G259 G180:G214 G269:G303 G313:G347 G357:G391 G401:G435 G489:G523 G445:G479 G533:G567 G621:G655 G665:G699 G34:G44 G54:G64 G94:G110 G577:G611">
      <formula1>$R$2:$S$2</formula1>
    </dataValidation>
    <dataValidation type="list" allowBlank="1" showInputMessage="1" showErrorMessage="1" errorTitle="¡Ingreso Inválido!" error="Seleccione una opción de la lista" promptTitle="Mes Requerido" prompt="Seleccione el mes en el que requiere el recurso." sqref="K709:K743 K17:K24 K34:K44 K74:K84 K120:K126 K136:K170 K225:K259 K180:K214 K269:K303 K313:K347 K357:K391 K401:K435 K489:K523 K445:K479 K533:K567 K621:K655 K665:K699 K54:K64 K94:K110 K577:K611">
      <formula1>$U$2:$AF$2</formula1>
    </dataValidation>
    <dataValidation type="list" allowBlank="1" showInputMessage="1" showErrorMessage="1" errorTitle="¡Ingreso Invalido!" error="Seleccione una opción de la lista." promptTitle="Categoria/Zona de Viáticos" prompt="Seleccione una opción de la lista" sqref="C17:C18 C34:C39 C709 C76 C94 C120 C136 C180:C182 C225 C269 C313:C315 C357 C401 C445:C446 C489 C533:C535 C577:C578 C621 C665 C54:C59 C41:C42 C74 C102:C104 C359">
      <formula1>$AH$2:$BU$2</formula1>
    </dataValidation>
    <dataValidation type="list" allowBlank="1" showInputMessage="1" showErrorMessage="1" errorTitle="¡Ingreso Inválido!" error="Verifique el valor ingresado." promptTitle="Ingrese el Objeto de Gasto" prompt="Ingrese el Objeto de Gasto" sqref="H709:H743 H34:H44 H17:H24 H74:H84 H120:H126 H577:H611 H313:H347 H225:H259 H269:H303 H180:H214 H357:H391 H489:H523 H445:H479 H533:H567 H621:H655 H665:H699 H54:H64 H94:H110 A261:A262 H401:H435 H136:H170">
      <formula1>$A$1:$UI$1</formula1>
    </dataValidation>
    <dataValidation type="list" allowBlank="1" showInputMessage="1" showErrorMessage="1" errorTitle="¡Ingreso Inválido!" error="Seleccione una opción de la lista." promptTitle="Dimensión Estratégica" prompt="Seleccione una opción de la lista." sqref="J19:J24 J710:J743 J84 J123:J126 J137:J170 J121 J226 J273:J303 J329:J347 J391 J358 J490:J523 J447:J479 J536:J567 J622:J655 J666:J699 J95:J101 J105:J110 J270:J271 J608:J611">
      <formula1>$A$2:$P$2</formula1>
    </dataValidation>
    <dataValidation type="list" allowBlank="1" showInputMessage="1" showErrorMessage="1" errorTitle="¡Ingreso Inválido!" error="Seleccione una opción de la lista." promptTitle="Dimensión Estratégica" prompt="Seleccione una opción de la lista." sqref="J17:J18 J709 J54:J64 J94 J120 J136 J122 J225 J269 J359:J390 J357 J313:J328 J445:J446 J489 J533:J535 J577:J607 J621 J665 J34:J44 J74:J83 J102:J104 J180:J214 J227:J259 J272 J401:J435">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53" zoomScale="86" zoomScaleNormal="86" workbookViewId="0">
      <selection activeCell="A67" sqref="A67"/>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249</v>
      </c>
      <c r="B1" s="190" t="s">
        <v>250</v>
      </c>
      <c r="C1" s="181" t="s">
        <v>251</v>
      </c>
      <c r="D1" s="181" t="s">
        <v>494</v>
      </c>
      <c r="E1" s="181" t="s">
        <v>496</v>
      </c>
      <c r="F1" s="181" t="s">
        <v>498</v>
      </c>
      <c r="G1" s="181" t="s">
        <v>500</v>
      </c>
      <c r="H1" s="181" t="s">
        <v>502</v>
      </c>
      <c r="I1" s="181" t="s">
        <v>504</v>
      </c>
      <c r="J1" s="181" t="s">
        <v>252</v>
      </c>
      <c r="K1" s="181" t="s">
        <v>507</v>
      </c>
      <c r="L1" s="181" t="s">
        <v>253</v>
      </c>
      <c r="M1" s="181" t="s">
        <v>509</v>
      </c>
      <c r="N1" s="181" t="s">
        <v>511</v>
      </c>
      <c r="O1" s="181" t="s">
        <v>513</v>
      </c>
      <c r="P1" s="181" t="s">
        <v>254</v>
      </c>
      <c r="Q1" s="181" t="s">
        <v>514</v>
      </c>
      <c r="R1" s="181" t="s">
        <v>517</v>
      </c>
      <c r="S1" s="181" t="s">
        <v>255</v>
      </c>
      <c r="T1" s="181" t="s">
        <v>519</v>
      </c>
      <c r="U1" s="181" t="s">
        <v>256</v>
      </c>
      <c r="V1" s="181" t="s">
        <v>520</v>
      </c>
      <c r="W1" s="181" t="s">
        <v>521</v>
      </c>
      <c r="X1" s="181" t="s">
        <v>525</v>
      </c>
      <c r="Y1" s="181" t="s">
        <v>272</v>
      </c>
      <c r="Z1" s="181" t="s">
        <v>526</v>
      </c>
      <c r="AA1" s="181" t="s">
        <v>528</v>
      </c>
      <c r="AB1" s="181" t="s">
        <v>530</v>
      </c>
      <c r="AC1" s="181" t="s">
        <v>273</v>
      </c>
      <c r="AD1" s="181" t="s">
        <v>532</v>
      </c>
      <c r="AE1" s="181" t="s">
        <v>534</v>
      </c>
      <c r="AF1" s="181" t="s">
        <v>536</v>
      </c>
      <c r="AG1" s="181" t="s">
        <v>538</v>
      </c>
      <c r="AH1" s="181" t="s">
        <v>248</v>
      </c>
      <c r="AI1" s="181" t="s">
        <v>540</v>
      </c>
      <c r="AJ1" s="190" t="s">
        <v>257</v>
      </c>
      <c r="AK1" s="181" t="s">
        <v>542</v>
      </c>
      <c r="AL1" s="181" t="s">
        <v>258</v>
      </c>
      <c r="AM1" s="181" t="s">
        <v>544</v>
      </c>
      <c r="AN1" s="181" t="s">
        <v>546</v>
      </c>
      <c r="AO1" s="181" t="s">
        <v>259</v>
      </c>
      <c r="AP1" s="181" t="s">
        <v>548</v>
      </c>
      <c r="AQ1" s="181" t="s">
        <v>550</v>
      </c>
      <c r="AR1" s="181" t="s">
        <v>260</v>
      </c>
      <c r="AS1" s="181" t="s">
        <v>551</v>
      </c>
      <c r="AT1" s="181" t="s">
        <v>553</v>
      </c>
      <c r="AU1" s="181" t="s">
        <v>554</v>
      </c>
      <c r="AV1" s="181" t="s">
        <v>555</v>
      </c>
      <c r="AW1" s="181" t="s">
        <v>557</v>
      </c>
      <c r="AX1" s="181" t="s">
        <v>559</v>
      </c>
      <c r="AY1" s="181" t="s">
        <v>560</v>
      </c>
      <c r="AZ1" s="181" t="s">
        <v>261</v>
      </c>
      <c r="BA1" s="181" t="s">
        <v>562</v>
      </c>
      <c r="BB1" s="181" t="s">
        <v>564</v>
      </c>
      <c r="BC1" s="181" t="s">
        <v>566</v>
      </c>
      <c r="BD1" s="181" t="s">
        <v>568</v>
      </c>
      <c r="BE1" s="181" t="s">
        <v>570</v>
      </c>
      <c r="BF1" s="181" t="s">
        <v>572</v>
      </c>
      <c r="BG1" s="181" t="s">
        <v>574</v>
      </c>
      <c r="BH1" s="181" t="s">
        <v>576</v>
      </c>
      <c r="BI1" s="181" t="s">
        <v>274</v>
      </c>
      <c r="BJ1" s="181" t="s">
        <v>578</v>
      </c>
      <c r="BK1" s="181" t="s">
        <v>580</v>
      </c>
      <c r="BL1" s="181" t="s">
        <v>582</v>
      </c>
      <c r="BM1" s="181" t="s">
        <v>584</v>
      </c>
      <c r="BN1" s="181" t="s">
        <v>586</v>
      </c>
      <c r="BO1" s="181" t="s">
        <v>588</v>
      </c>
      <c r="BP1" s="181" t="s">
        <v>590</v>
      </c>
      <c r="BQ1" s="181" t="s">
        <v>592</v>
      </c>
      <c r="BR1" s="181" t="s">
        <v>594</v>
      </c>
      <c r="BS1" s="181" t="s">
        <v>596</v>
      </c>
      <c r="BT1" s="190" t="s">
        <v>262</v>
      </c>
      <c r="BU1" s="181" t="s">
        <v>263</v>
      </c>
      <c r="BV1" s="181" t="s">
        <v>598</v>
      </c>
      <c r="BW1" s="181" t="s">
        <v>264</v>
      </c>
      <c r="BX1" s="181" t="s">
        <v>600</v>
      </c>
      <c r="BY1" s="181" t="s">
        <v>602</v>
      </c>
      <c r="BZ1" s="190" t="s">
        <v>265</v>
      </c>
      <c r="CA1" s="181" t="s">
        <v>266</v>
      </c>
      <c r="CB1" s="181" t="s">
        <v>604</v>
      </c>
      <c r="CC1" s="181" t="s">
        <v>267</v>
      </c>
      <c r="CD1" s="181" t="s">
        <v>606</v>
      </c>
      <c r="CE1" s="181" t="s">
        <v>608</v>
      </c>
      <c r="CF1" s="181" t="s">
        <v>610</v>
      </c>
      <c r="CG1" s="190" t="s">
        <v>268</v>
      </c>
      <c r="CH1" s="181" t="s">
        <v>616</v>
      </c>
      <c r="CI1" s="181" t="s">
        <v>618</v>
      </c>
      <c r="CJ1" s="181" t="s">
        <v>269</v>
      </c>
      <c r="CK1" s="181" t="s">
        <v>612</v>
      </c>
      <c r="CL1" s="181" t="s">
        <v>614</v>
      </c>
      <c r="CM1" s="181" t="s">
        <v>270</v>
      </c>
      <c r="CN1" s="181" t="s">
        <v>620</v>
      </c>
      <c r="CO1" s="181" t="s">
        <v>271</v>
      </c>
      <c r="CP1" s="181" t="s">
        <v>621</v>
      </c>
      <c r="CQ1" s="178" t="s">
        <v>275</v>
      </c>
      <c r="CR1" s="190" t="s">
        <v>276</v>
      </c>
      <c r="CS1" s="181" t="s">
        <v>622</v>
      </c>
      <c r="CT1" s="181" t="s">
        <v>623</v>
      </c>
      <c r="CU1" s="181" t="s">
        <v>625</v>
      </c>
      <c r="CV1" s="181" t="s">
        <v>277</v>
      </c>
      <c r="CW1" s="181" t="s">
        <v>627</v>
      </c>
      <c r="CX1" s="181" t="s">
        <v>629</v>
      </c>
      <c r="CY1" s="181" t="s">
        <v>631</v>
      </c>
      <c r="CZ1" s="181" t="s">
        <v>633</v>
      </c>
      <c r="DA1" s="181" t="s">
        <v>635</v>
      </c>
      <c r="DB1" s="181" t="s">
        <v>637</v>
      </c>
      <c r="DC1" s="190" t="s">
        <v>278</v>
      </c>
      <c r="DD1" s="181" t="s">
        <v>279</v>
      </c>
      <c r="DE1" s="181" t="s">
        <v>639</v>
      </c>
      <c r="DF1" s="181" t="s">
        <v>280</v>
      </c>
      <c r="DG1" s="181" t="s">
        <v>641</v>
      </c>
      <c r="DH1" s="181" t="s">
        <v>643</v>
      </c>
      <c r="DI1" s="181" t="s">
        <v>645</v>
      </c>
      <c r="DJ1" s="181" t="s">
        <v>647</v>
      </c>
      <c r="DK1" s="181" t="s">
        <v>649</v>
      </c>
      <c r="DL1" s="181" t="s">
        <v>651</v>
      </c>
      <c r="DM1" s="181" t="s">
        <v>653</v>
      </c>
      <c r="DN1" s="181" t="s">
        <v>281</v>
      </c>
      <c r="DO1" s="181" t="s">
        <v>655</v>
      </c>
      <c r="DP1" s="181" t="s">
        <v>657</v>
      </c>
      <c r="DQ1" s="181" t="s">
        <v>659</v>
      </c>
      <c r="DR1" s="190" t="s">
        <v>282</v>
      </c>
      <c r="DS1" s="181" t="s">
        <v>661</v>
      </c>
      <c r="DT1" s="181" t="s">
        <v>283</v>
      </c>
      <c r="DU1" s="181" t="s">
        <v>663</v>
      </c>
      <c r="DV1" s="181" t="s">
        <v>284</v>
      </c>
      <c r="DW1" s="181" t="s">
        <v>665</v>
      </c>
      <c r="DX1" s="181" t="s">
        <v>667</v>
      </c>
      <c r="DY1" s="181" t="s">
        <v>669</v>
      </c>
      <c r="DZ1" s="181" t="s">
        <v>671</v>
      </c>
      <c r="EA1" s="181" t="s">
        <v>673</v>
      </c>
      <c r="EB1" s="181" t="s">
        <v>675</v>
      </c>
      <c r="EC1" s="181" t="s">
        <v>677</v>
      </c>
      <c r="ED1" s="181" t="s">
        <v>679</v>
      </c>
      <c r="EE1" s="181" t="s">
        <v>681</v>
      </c>
      <c r="EF1" s="181" t="s">
        <v>683</v>
      </c>
      <c r="EG1" s="181" t="s">
        <v>685</v>
      </c>
      <c r="EH1" s="190" t="s">
        <v>285</v>
      </c>
      <c r="EI1" s="181" t="s">
        <v>687</v>
      </c>
      <c r="EJ1" s="181" t="s">
        <v>286</v>
      </c>
      <c r="EK1" s="181" t="s">
        <v>689</v>
      </c>
      <c r="EL1" s="181" t="s">
        <v>691</v>
      </c>
      <c r="EM1" s="181" t="s">
        <v>287</v>
      </c>
      <c r="EN1" s="181" t="s">
        <v>693</v>
      </c>
      <c r="EO1" s="181" t="s">
        <v>695</v>
      </c>
      <c r="EP1" s="181" t="s">
        <v>288</v>
      </c>
      <c r="EQ1" s="181" t="s">
        <v>697</v>
      </c>
      <c r="ER1" s="181" t="s">
        <v>699</v>
      </c>
      <c r="ES1" s="181" t="s">
        <v>701</v>
      </c>
      <c r="ET1" s="181" t="s">
        <v>289</v>
      </c>
      <c r="EU1" s="181" t="s">
        <v>703</v>
      </c>
      <c r="EV1" s="181" t="s">
        <v>705</v>
      </c>
      <c r="EW1" s="190" t="s">
        <v>290</v>
      </c>
      <c r="EX1" s="181" t="s">
        <v>291</v>
      </c>
      <c r="EY1" s="181" t="s">
        <v>707</v>
      </c>
      <c r="EZ1" s="181" t="s">
        <v>709</v>
      </c>
      <c r="FA1" s="181" t="s">
        <v>711</v>
      </c>
      <c r="FB1" s="181" t="s">
        <v>713</v>
      </c>
      <c r="FC1" s="181" t="s">
        <v>292</v>
      </c>
      <c r="FD1" s="181" t="s">
        <v>715</v>
      </c>
      <c r="FE1" s="181" t="s">
        <v>717</v>
      </c>
      <c r="FF1" s="181" t="s">
        <v>719</v>
      </c>
      <c r="FG1" s="181" t="s">
        <v>721</v>
      </c>
      <c r="FH1" s="181" t="s">
        <v>723</v>
      </c>
      <c r="FI1" s="181" t="s">
        <v>293</v>
      </c>
      <c r="FJ1" s="181" t="s">
        <v>726</v>
      </c>
      <c r="FK1" s="181" t="s">
        <v>294</v>
      </c>
      <c r="FL1" s="181" t="s">
        <v>729</v>
      </c>
      <c r="FM1" s="181" t="s">
        <v>730</v>
      </c>
      <c r="FN1" s="181" t="s">
        <v>732</v>
      </c>
      <c r="FO1" s="181" t="s">
        <v>295</v>
      </c>
      <c r="FP1" s="181" t="s">
        <v>735</v>
      </c>
      <c r="FQ1" s="181" t="s">
        <v>736</v>
      </c>
      <c r="FR1" s="181" t="s">
        <v>738</v>
      </c>
      <c r="FS1" s="181" t="s">
        <v>296</v>
      </c>
      <c r="FT1" s="181" t="s">
        <v>741</v>
      </c>
      <c r="FU1" s="181" t="s">
        <v>743</v>
      </c>
      <c r="FV1" s="181" t="s">
        <v>745</v>
      </c>
      <c r="FW1" s="190" t="s">
        <v>297</v>
      </c>
      <c r="FX1" s="190" t="s">
        <v>298</v>
      </c>
      <c r="FY1" s="181" t="s">
        <v>304</v>
      </c>
      <c r="FZ1" s="181" t="s">
        <v>747</v>
      </c>
      <c r="GA1" s="181" t="s">
        <v>749</v>
      </c>
      <c r="GB1" s="181" t="s">
        <v>751</v>
      </c>
      <c r="GC1" s="181" t="s">
        <v>753</v>
      </c>
      <c r="GD1" s="181" t="s">
        <v>755</v>
      </c>
      <c r="GE1" s="181" t="s">
        <v>757</v>
      </c>
      <c r="GF1" s="190" t="s">
        <v>299</v>
      </c>
      <c r="GG1" s="181" t="s">
        <v>305</v>
      </c>
      <c r="GH1" s="181" t="s">
        <v>759</v>
      </c>
      <c r="GI1" s="181" t="s">
        <v>761</v>
      </c>
      <c r="GJ1" s="181" t="s">
        <v>762</v>
      </c>
      <c r="GK1" s="181" t="s">
        <v>306</v>
      </c>
      <c r="GL1" s="181" t="s">
        <v>765</v>
      </c>
      <c r="GM1" s="181" t="s">
        <v>766</v>
      </c>
      <c r="GN1" s="190" t="s">
        <v>300</v>
      </c>
      <c r="GO1" s="181" t="s">
        <v>301</v>
      </c>
      <c r="GP1" s="181" t="s">
        <v>768</v>
      </c>
      <c r="GQ1" s="181" t="s">
        <v>770</v>
      </c>
      <c r="GR1" s="181" t="s">
        <v>772</v>
      </c>
      <c r="GS1" s="181" t="s">
        <v>774</v>
      </c>
      <c r="GT1" s="181" t="s">
        <v>776</v>
      </c>
      <c r="GU1" s="190" t="s">
        <v>302</v>
      </c>
      <c r="GV1" s="181" t="s">
        <v>303</v>
      </c>
      <c r="GW1" s="181" t="s">
        <v>778</v>
      </c>
      <c r="GX1" s="181" t="s">
        <v>780</v>
      </c>
      <c r="GY1" s="181" t="s">
        <v>782</v>
      </c>
      <c r="GZ1" s="181" t="s">
        <v>784</v>
      </c>
      <c r="HA1" s="181" t="s">
        <v>786</v>
      </c>
      <c r="HB1" s="181" t="s">
        <v>788</v>
      </c>
      <c r="HC1" s="178" t="s">
        <v>307</v>
      </c>
      <c r="HD1" s="190" t="s">
        <v>308</v>
      </c>
      <c r="HE1" s="181" t="s">
        <v>309</v>
      </c>
      <c r="HF1" s="181" t="s">
        <v>790</v>
      </c>
      <c r="HG1" s="181" t="s">
        <v>792</v>
      </c>
      <c r="HH1" s="181" t="s">
        <v>794</v>
      </c>
      <c r="HI1" s="181" t="s">
        <v>796</v>
      </c>
      <c r="HJ1" s="181" t="s">
        <v>310</v>
      </c>
      <c r="HK1" s="181" t="s">
        <v>799</v>
      </c>
      <c r="HL1" s="181" t="s">
        <v>327</v>
      </c>
      <c r="HM1" s="181" t="s">
        <v>837</v>
      </c>
      <c r="HN1" s="181" t="s">
        <v>839</v>
      </c>
      <c r="HO1" s="181" t="s">
        <v>841</v>
      </c>
      <c r="HP1" s="190" t="s">
        <v>311</v>
      </c>
      <c r="HQ1" s="181" t="s">
        <v>801</v>
      </c>
      <c r="HR1" s="181" t="s">
        <v>803</v>
      </c>
      <c r="HS1" s="181" t="s">
        <v>312</v>
      </c>
      <c r="HT1" s="181" t="s">
        <v>806</v>
      </c>
      <c r="HU1" s="181" t="s">
        <v>808</v>
      </c>
      <c r="HV1" s="181" t="s">
        <v>809</v>
      </c>
      <c r="HW1" s="181" t="s">
        <v>811</v>
      </c>
      <c r="HX1" s="190" t="s">
        <v>313</v>
      </c>
      <c r="HY1" s="181" t="s">
        <v>813</v>
      </c>
      <c r="HZ1" s="181" t="s">
        <v>815</v>
      </c>
      <c r="IA1" s="181" t="s">
        <v>817</v>
      </c>
      <c r="IB1" s="181" t="s">
        <v>314</v>
      </c>
      <c r="IC1" s="181" t="s">
        <v>819</v>
      </c>
      <c r="ID1" s="181" t="s">
        <v>821</v>
      </c>
      <c r="IE1" s="181" t="s">
        <v>315</v>
      </c>
      <c r="IF1" s="181" t="s">
        <v>823</v>
      </c>
      <c r="IG1" s="181" t="s">
        <v>825</v>
      </c>
      <c r="IH1" s="181" t="s">
        <v>316</v>
      </c>
      <c r="II1" s="181" t="s">
        <v>827</v>
      </c>
      <c r="IJ1" s="181" t="s">
        <v>829</v>
      </c>
      <c r="IK1" s="181" t="s">
        <v>831</v>
      </c>
      <c r="IL1" s="181" t="s">
        <v>833</v>
      </c>
      <c r="IM1" s="181" t="s">
        <v>317</v>
      </c>
      <c r="IN1" s="181" t="s">
        <v>835</v>
      </c>
      <c r="IO1" s="190" t="s">
        <v>318</v>
      </c>
      <c r="IP1" s="181" t="s">
        <v>843</v>
      </c>
      <c r="IQ1" s="181" t="s">
        <v>845</v>
      </c>
      <c r="IR1" s="181" t="s">
        <v>319</v>
      </c>
      <c r="IS1" s="181" t="s">
        <v>847</v>
      </c>
      <c r="IT1" s="181" t="s">
        <v>849</v>
      </c>
      <c r="IU1" s="181" t="s">
        <v>851</v>
      </c>
      <c r="IV1" s="190" t="s">
        <v>320</v>
      </c>
      <c r="IW1" s="181" t="s">
        <v>853</v>
      </c>
      <c r="IX1" s="181" t="s">
        <v>321</v>
      </c>
      <c r="IY1" s="181" t="s">
        <v>856</v>
      </c>
      <c r="IZ1" s="181" t="s">
        <v>858</v>
      </c>
      <c r="JA1" s="181" t="s">
        <v>860</v>
      </c>
      <c r="JB1" s="181" t="s">
        <v>862</v>
      </c>
      <c r="JC1" s="181" t="s">
        <v>864</v>
      </c>
      <c r="JD1" s="181" t="s">
        <v>866</v>
      </c>
      <c r="JE1" s="181" t="s">
        <v>322</v>
      </c>
      <c r="JF1" s="181" t="s">
        <v>869</v>
      </c>
      <c r="JG1" s="181" t="s">
        <v>871</v>
      </c>
      <c r="JH1" s="181" t="s">
        <v>873</v>
      </c>
      <c r="JI1" s="181" t="s">
        <v>875</v>
      </c>
      <c r="JJ1" s="181" t="s">
        <v>877</v>
      </c>
      <c r="JK1" s="181" t="s">
        <v>879</v>
      </c>
      <c r="JL1" s="181" t="s">
        <v>881</v>
      </c>
      <c r="JM1" s="181" t="s">
        <v>883</v>
      </c>
      <c r="JN1" s="181" t="s">
        <v>323</v>
      </c>
      <c r="JO1" s="181" t="s">
        <v>886</v>
      </c>
      <c r="JP1" s="181" t="s">
        <v>888</v>
      </c>
      <c r="JQ1" s="181" t="s">
        <v>890</v>
      </c>
      <c r="JR1" s="181" t="s">
        <v>892</v>
      </c>
      <c r="JS1" s="181" t="s">
        <v>893</v>
      </c>
      <c r="JT1" s="181" t="s">
        <v>895</v>
      </c>
      <c r="JU1" s="181" t="s">
        <v>897</v>
      </c>
      <c r="JV1" s="181" t="s">
        <v>899</v>
      </c>
      <c r="JW1" s="181" t="s">
        <v>901</v>
      </c>
      <c r="JX1" s="181" t="s">
        <v>903</v>
      </c>
      <c r="JY1" s="181" t="s">
        <v>905</v>
      </c>
      <c r="JZ1" s="181" t="s">
        <v>907</v>
      </c>
      <c r="KA1" s="181" t="s">
        <v>909</v>
      </c>
      <c r="KB1" s="181" t="s">
        <v>911</v>
      </c>
      <c r="KC1" s="181" t="s">
        <v>913</v>
      </c>
      <c r="KD1" s="181" t="s">
        <v>915</v>
      </c>
      <c r="KE1" s="181" t="s">
        <v>917</v>
      </c>
      <c r="KF1" s="181" t="s">
        <v>919</v>
      </c>
      <c r="KG1" s="181" t="s">
        <v>921</v>
      </c>
      <c r="KH1" s="181" t="s">
        <v>923</v>
      </c>
      <c r="KI1" s="181" t="s">
        <v>925</v>
      </c>
      <c r="KJ1" s="181" t="s">
        <v>927</v>
      </c>
      <c r="KK1" s="181" t="s">
        <v>929</v>
      </c>
      <c r="KL1" s="181" t="s">
        <v>931</v>
      </c>
      <c r="KM1" s="181" t="s">
        <v>933</v>
      </c>
      <c r="KN1" s="181" t="s">
        <v>935</v>
      </c>
      <c r="KO1" s="190" t="s">
        <v>324</v>
      </c>
      <c r="KP1" s="181" t="s">
        <v>937</v>
      </c>
      <c r="KQ1" s="181" t="s">
        <v>325</v>
      </c>
      <c r="KR1" s="181" t="s">
        <v>940</v>
      </c>
      <c r="KS1" s="181" t="s">
        <v>942</v>
      </c>
      <c r="KT1" s="181" t="s">
        <v>944</v>
      </c>
      <c r="KU1" s="181" t="s">
        <v>946</v>
      </c>
      <c r="KV1" s="181" t="s">
        <v>326</v>
      </c>
      <c r="KW1" s="181" t="s">
        <v>949</v>
      </c>
      <c r="KX1" s="181" t="s">
        <v>951</v>
      </c>
      <c r="KY1" s="181" t="s">
        <v>953</v>
      </c>
      <c r="KZ1" s="181" t="s">
        <v>955</v>
      </c>
      <c r="LA1" s="181" t="s">
        <v>957</v>
      </c>
      <c r="LB1" s="181" t="s">
        <v>959</v>
      </c>
      <c r="LC1" s="181" t="s">
        <v>961</v>
      </c>
      <c r="LD1" s="178" t="s">
        <v>328</v>
      </c>
      <c r="LE1" s="190" t="s">
        <v>329</v>
      </c>
      <c r="LF1" s="181" t="s">
        <v>330</v>
      </c>
      <c r="LG1" s="181" t="s">
        <v>344</v>
      </c>
      <c r="LH1" s="181" t="s">
        <v>963</v>
      </c>
      <c r="LI1" s="181" t="s">
        <v>965</v>
      </c>
      <c r="LJ1" s="181" t="s">
        <v>967</v>
      </c>
      <c r="LK1" s="181" t="s">
        <v>969</v>
      </c>
      <c r="LL1" s="181" t="s">
        <v>345</v>
      </c>
      <c r="LM1" s="181" t="s">
        <v>971</v>
      </c>
      <c r="LN1" s="181" t="s">
        <v>346</v>
      </c>
      <c r="LO1" s="181" t="s">
        <v>973</v>
      </c>
      <c r="LP1" s="181" t="s">
        <v>331</v>
      </c>
      <c r="LQ1" s="181" t="s">
        <v>975</v>
      </c>
      <c r="LR1" s="181" t="s">
        <v>347</v>
      </c>
      <c r="LS1" s="181" t="s">
        <v>977</v>
      </c>
      <c r="LT1" s="181" t="s">
        <v>979</v>
      </c>
      <c r="LU1" s="181" t="s">
        <v>348</v>
      </c>
      <c r="LV1" s="190" t="s">
        <v>332</v>
      </c>
      <c r="LW1" s="181" t="s">
        <v>333</v>
      </c>
      <c r="LX1" s="181" t="s">
        <v>981</v>
      </c>
      <c r="LY1" s="181" t="s">
        <v>983</v>
      </c>
      <c r="LZ1" s="181" t="s">
        <v>984</v>
      </c>
      <c r="MA1" s="181" t="s">
        <v>986</v>
      </c>
      <c r="MB1" s="181" t="s">
        <v>987</v>
      </c>
      <c r="MC1" s="181" t="s">
        <v>989</v>
      </c>
      <c r="MD1" s="181" t="s">
        <v>991</v>
      </c>
      <c r="ME1" s="181" t="s">
        <v>993</v>
      </c>
      <c r="MF1" s="181" t="s">
        <v>995</v>
      </c>
      <c r="MG1" s="181" t="s">
        <v>334</v>
      </c>
      <c r="MH1" s="181" t="s">
        <v>998</v>
      </c>
      <c r="MI1" s="181" t="s">
        <v>999</v>
      </c>
      <c r="MJ1" s="181" t="s">
        <v>1001</v>
      </c>
      <c r="MK1" s="181" t="s">
        <v>335</v>
      </c>
      <c r="ML1" s="181" t="s">
        <v>1004</v>
      </c>
      <c r="MM1" s="181" t="s">
        <v>1005</v>
      </c>
      <c r="MN1" s="181" t="s">
        <v>1007</v>
      </c>
      <c r="MO1" s="181" t="s">
        <v>1009</v>
      </c>
      <c r="MP1" s="181" t="s">
        <v>336</v>
      </c>
      <c r="MQ1" s="181" t="s">
        <v>1012</v>
      </c>
      <c r="MR1" s="181" t="s">
        <v>1014</v>
      </c>
      <c r="MS1" s="181" t="s">
        <v>1016</v>
      </c>
      <c r="MT1" s="181" t="s">
        <v>1018</v>
      </c>
      <c r="MU1" s="181" t="s">
        <v>337</v>
      </c>
      <c r="MV1" s="181" t="s">
        <v>1021</v>
      </c>
      <c r="MW1" s="181" t="s">
        <v>1023</v>
      </c>
      <c r="MX1" s="181" t="s">
        <v>1025</v>
      </c>
      <c r="MY1" s="181" t="s">
        <v>1027</v>
      </c>
      <c r="MZ1" s="181" t="s">
        <v>1029</v>
      </c>
      <c r="NA1" s="181" t="s">
        <v>1031</v>
      </c>
      <c r="NB1" s="181" t="s">
        <v>1033</v>
      </c>
      <c r="NC1" s="181" t="s">
        <v>1035</v>
      </c>
      <c r="ND1" s="181" t="s">
        <v>1037</v>
      </c>
      <c r="NE1" s="181" t="s">
        <v>1039</v>
      </c>
      <c r="NF1" s="181" t="s">
        <v>1041</v>
      </c>
      <c r="NG1" s="181" t="s">
        <v>1042</v>
      </c>
      <c r="NH1" s="190" t="s">
        <v>338</v>
      </c>
      <c r="NI1" s="181" t="s">
        <v>339</v>
      </c>
      <c r="NJ1" s="181" t="s">
        <v>1044</v>
      </c>
      <c r="NK1" s="181" t="s">
        <v>1046</v>
      </c>
      <c r="NL1" s="181" t="s">
        <v>1048</v>
      </c>
      <c r="NM1" s="181" t="s">
        <v>1050</v>
      </c>
      <c r="NN1" s="190" t="s">
        <v>340</v>
      </c>
      <c r="NO1" s="181" t="s">
        <v>341</v>
      </c>
      <c r="NP1" s="181" t="s">
        <v>1051</v>
      </c>
      <c r="NQ1" s="181" t="s">
        <v>342</v>
      </c>
      <c r="NR1" s="181" t="s">
        <v>1053</v>
      </c>
      <c r="NS1" s="181" t="s">
        <v>1055</v>
      </c>
      <c r="NT1" s="181" t="s">
        <v>343</v>
      </c>
      <c r="NU1" s="181" t="s">
        <v>1057</v>
      </c>
      <c r="NV1" s="178" t="s">
        <v>349</v>
      </c>
      <c r="NW1" s="190" t="s">
        <v>350</v>
      </c>
      <c r="NX1" s="181" t="s">
        <v>351</v>
      </c>
      <c r="NY1" s="181" t="s">
        <v>1060</v>
      </c>
      <c r="NZ1" s="181" t="s">
        <v>1062</v>
      </c>
      <c r="OA1" s="181" t="s">
        <v>352</v>
      </c>
      <c r="OB1" s="181" t="s">
        <v>362</v>
      </c>
      <c r="OC1" s="181" t="s">
        <v>1064</v>
      </c>
      <c r="OD1" s="181" t="s">
        <v>1066</v>
      </c>
      <c r="OE1" s="181" t="s">
        <v>1068</v>
      </c>
      <c r="OF1" s="181" t="s">
        <v>1070</v>
      </c>
      <c r="OG1" s="181" t="s">
        <v>1072</v>
      </c>
      <c r="OH1" s="181" t="s">
        <v>1074</v>
      </c>
      <c r="OI1" s="181" t="s">
        <v>1076</v>
      </c>
      <c r="OJ1" s="181" t="s">
        <v>1078</v>
      </c>
      <c r="OK1" s="181" t="s">
        <v>1080</v>
      </c>
      <c r="OL1" s="181" t="s">
        <v>1082</v>
      </c>
      <c r="OM1" s="181" t="s">
        <v>1084</v>
      </c>
      <c r="ON1" s="181" t="s">
        <v>1086</v>
      </c>
      <c r="OO1" s="181" t="s">
        <v>1088</v>
      </c>
      <c r="OP1" s="181" t="s">
        <v>1090</v>
      </c>
      <c r="OQ1" s="181" t="s">
        <v>1092</v>
      </c>
      <c r="OR1" s="181" t="s">
        <v>1094</v>
      </c>
      <c r="OS1" s="181" t="s">
        <v>1096</v>
      </c>
      <c r="OT1" s="181" t="s">
        <v>1098</v>
      </c>
      <c r="OU1" s="181" t="s">
        <v>1100</v>
      </c>
      <c r="OV1" s="181" t="s">
        <v>1102</v>
      </c>
      <c r="OW1" s="181" t="s">
        <v>1104</v>
      </c>
      <c r="OX1" s="181" t="s">
        <v>1106</v>
      </c>
      <c r="OY1" s="181" t="s">
        <v>363</v>
      </c>
      <c r="OZ1" s="181" t="s">
        <v>1109</v>
      </c>
      <c r="PA1" s="181" t="s">
        <v>1111</v>
      </c>
      <c r="PB1" s="181" t="s">
        <v>1112</v>
      </c>
      <c r="PC1" s="181" t="s">
        <v>1114</v>
      </c>
      <c r="PD1" s="181" t="s">
        <v>1116</v>
      </c>
      <c r="PE1" s="181" t="s">
        <v>1118</v>
      </c>
      <c r="PF1" s="181" t="s">
        <v>1120</v>
      </c>
      <c r="PG1" s="181" t="s">
        <v>1122</v>
      </c>
      <c r="PH1" s="181" t="s">
        <v>1124</v>
      </c>
      <c r="PI1" s="181" t="s">
        <v>1126</v>
      </c>
      <c r="PJ1" s="181" t="s">
        <v>1128</v>
      </c>
      <c r="PK1" s="181" t="s">
        <v>1130</v>
      </c>
      <c r="PL1" s="181" t="s">
        <v>1132</v>
      </c>
      <c r="PM1" s="181" t="s">
        <v>1134</v>
      </c>
      <c r="PN1" s="181" t="s">
        <v>1136</v>
      </c>
      <c r="PO1" s="181" t="s">
        <v>1138</v>
      </c>
      <c r="PP1" s="181" t="s">
        <v>1140</v>
      </c>
      <c r="PQ1" s="181" t="s">
        <v>1142</v>
      </c>
      <c r="PR1" s="181" t="s">
        <v>1144</v>
      </c>
      <c r="PS1" s="181" t="s">
        <v>1146</v>
      </c>
      <c r="PT1" s="181" t="s">
        <v>1148</v>
      </c>
      <c r="PU1" s="181" t="s">
        <v>1150</v>
      </c>
      <c r="PV1" s="181" t="s">
        <v>1152</v>
      </c>
      <c r="PW1" s="181" t="s">
        <v>1154</v>
      </c>
      <c r="PX1" s="181" t="s">
        <v>1156</v>
      </c>
      <c r="PY1" s="181" t="s">
        <v>1158</v>
      </c>
      <c r="PZ1" s="181" t="s">
        <v>353</v>
      </c>
      <c r="QA1" s="181" t="s">
        <v>1160</v>
      </c>
      <c r="QB1" s="181" t="s">
        <v>1162</v>
      </c>
      <c r="QC1" s="181" t="s">
        <v>1164</v>
      </c>
      <c r="QD1" s="181" t="s">
        <v>1166</v>
      </c>
      <c r="QE1" s="181" t="s">
        <v>1168</v>
      </c>
      <c r="QF1" s="190" t="s">
        <v>354</v>
      </c>
      <c r="QG1" s="181" t="s">
        <v>355</v>
      </c>
      <c r="QH1" s="181" t="s">
        <v>1170</v>
      </c>
      <c r="QI1" s="181" t="s">
        <v>1172</v>
      </c>
      <c r="QJ1" s="181" t="s">
        <v>1174</v>
      </c>
      <c r="QK1" s="181" t="s">
        <v>1176</v>
      </c>
      <c r="QL1" s="181" t="s">
        <v>1178</v>
      </c>
      <c r="QM1" s="181" t="s">
        <v>1180</v>
      </c>
      <c r="QN1" s="190" t="s">
        <v>356</v>
      </c>
      <c r="QO1" s="181" t="s">
        <v>1182</v>
      </c>
      <c r="QP1" s="181" t="s">
        <v>357</v>
      </c>
      <c r="QQ1" s="181" t="s">
        <v>364</v>
      </c>
      <c r="QR1" s="181" t="s">
        <v>1184</v>
      </c>
      <c r="QS1" s="181" t="s">
        <v>1186</v>
      </c>
      <c r="QT1" s="181" t="s">
        <v>1188</v>
      </c>
      <c r="QU1" s="181" t="s">
        <v>1190</v>
      </c>
      <c r="QV1" s="181" t="s">
        <v>1192</v>
      </c>
      <c r="QW1" s="181" t="s">
        <v>1194</v>
      </c>
      <c r="QX1" s="181" t="s">
        <v>1196</v>
      </c>
      <c r="QY1" s="181" t="s">
        <v>1198</v>
      </c>
      <c r="QZ1" s="181" t="s">
        <v>1200</v>
      </c>
      <c r="RA1" s="181" t="s">
        <v>1202</v>
      </c>
      <c r="RB1" s="181" t="s">
        <v>1204</v>
      </c>
      <c r="RC1" s="181" t="s">
        <v>1206</v>
      </c>
      <c r="RD1" s="181" t="s">
        <v>1208</v>
      </c>
      <c r="RE1" s="181" t="s">
        <v>1210</v>
      </c>
      <c r="RF1" s="190" t="s">
        <v>358</v>
      </c>
      <c r="RG1" s="181" t="s">
        <v>359</v>
      </c>
      <c r="RH1" s="181" t="s">
        <v>1212</v>
      </c>
      <c r="RI1" s="181" t="s">
        <v>1214</v>
      </c>
      <c r="RJ1" s="190" t="s">
        <v>360</v>
      </c>
      <c r="RK1" s="181" t="s">
        <v>361</v>
      </c>
      <c r="RL1" s="181" t="s">
        <v>1216</v>
      </c>
      <c r="RM1" s="181" t="s">
        <v>1217</v>
      </c>
      <c r="RN1" s="181" t="s">
        <v>1218</v>
      </c>
      <c r="RO1" s="181" t="s">
        <v>1219</v>
      </c>
      <c r="RP1" s="181" t="s">
        <v>1221</v>
      </c>
      <c r="RQ1" s="181" t="s">
        <v>1222</v>
      </c>
      <c r="RR1" s="181" t="s">
        <v>1224</v>
      </c>
      <c r="RS1" s="181" t="s">
        <v>1225</v>
      </c>
      <c r="RT1" s="178" t="s">
        <v>365</v>
      </c>
      <c r="RU1" s="190" t="s">
        <v>366</v>
      </c>
      <c r="RV1" s="181" t="s">
        <v>367</v>
      </c>
      <c r="RW1" s="181" t="s">
        <v>1227</v>
      </c>
      <c r="RX1" s="181" t="s">
        <v>1229</v>
      </c>
      <c r="RY1" s="181" t="s">
        <v>368</v>
      </c>
      <c r="RZ1" s="181" t="s">
        <v>1231</v>
      </c>
      <c r="SA1" s="181" t="s">
        <v>1233</v>
      </c>
      <c r="SB1" s="181" t="s">
        <v>1235</v>
      </c>
      <c r="SC1" s="181" t="s">
        <v>1237</v>
      </c>
      <c r="SD1" s="190" t="s">
        <v>369</v>
      </c>
      <c r="SE1" s="181" t="s">
        <v>370</v>
      </c>
      <c r="SF1" s="181" t="s">
        <v>1239</v>
      </c>
      <c r="SG1" s="181" t="s">
        <v>1241</v>
      </c>
      <c r="SH1" s="181" t="s">
        <v>1243</v>
      </c>
      <c r="SI1" s="181" t="s">
        <v>1245</v>
      </c>
      <c r="SJ1" s="181" t="s">
        <v>1247</v>
      </c>
      <c r="SK1" s="181" t="s">
        <v>1249</v>
      </c>
      <c r="SL1" s="181" t="s">
        <v>1251</v>
      </c>
      <c r="SM1" s="181" t="s">
        <v>1253</v>
      </c>
      <c r="SN1" s="181" t="s">
        <v>1255</v>
      </c>
      <c r="SO1" s="181" t="s">
        <v>1257</v>
      </c>
      <c r="SP1" s="181" t="s">
        <v>1259</v>
      </c>
      <c r="SQ1" s="181" t="s">
        <v>1261</v>
      </c>
      <c r="SR1" s="181" t="s">
        <v>1263</v>
      </c>
      <c r="SS1" s="181" t="s">
        <v>1265</v>
      </c>
      <c r="ST1" s="181" t="s">
        <v>1267</v>
      </c>
      <c r="SU1" s="178" t="s">
        <v>371</v>
      </c>
      <c r="SV1" s="190" t="s">
        <v>372</v>
      </c>
      <c r="SW1" s="181" t="s">
        <v>373</v>
      </c>
      <c r="SX1" s="181" t="s">
        <v>1269</v>
      </c>
      <c r="SY1" s="181" t="s">
        <v>1271</v>
      </c>
      <c r="SZ1" s="181" t="s">
        <v>1273</v>
      </c>
      <c r="TA1" s="181" t="s">
        <v>1275</v>
      </c>
      <c r="TB1" s="181" t="s">
        <v>1277</v>
      </c>
      <c r="TC1" s="181" t="s">
        <v>374</v>
      </c>
      <c r="TD1" s="181" t="s">
        <v>1279</v>
      </c>
      <c r="TE1" s="181" t="s">
        <v>1281</v>
      </c>
      <c r="TF1" s="181" t="s">
        <v>1283</v>
      </c>
      <c r="TG1" s="181" t="s">
        <v>1285</v>
      </c>
      <c r="TH1" s="181" t="s">
        <v>1287</v>
      </c>
      <c r="TI1" s="181" t="s">
        <v>1289</v>
      </c>
      <c r="TJ1" s="190" t="s">
        <v>375</v>
      </c>
      <c r="TK1" s="181" t="s">
        <v>376</v>
      </c>
      <c r="TL1" s="181" t="s">
        <v>377</v>
      </c>
      <c r="TM1" s="181" t="s">
        <v>1291</v>
      </c>
      <c r="TN1" s="181" t="s">
        <v>1293</v>
      </c>
      <c r="TO1" s="181" t="s">
        <v>1294</v>
      </c>
      <c r="TP1" s="181" t="s">
        <v>1296</v>
      </c>
      <c r="TQ1" s="181" t="s">
        <v>1298</v>
      </c>
      <c r="TR1" s="181" t="s">
        <v>1300</v>
      </c>
      <c r="TS1" s="181" t="s">
        <v>1302</v>
      </c>
      <c r="TT1" s="181" t="s">
        <v>1304</v>
      </c>
      <c r="TU1" s="181" t="s">
        <v>1306</v>
      </c>
      <c r="TV1" s="181" t="s">
        <v>1308</v>
      </c>
      <c r="TW1" s="181" t="s">
        <v>1310</v>
      </c>
      <c r="TX1" s="181" t="s">
        <v>1312</v>
      </c>
      <c r="TY1" s="181" t="s">
        <v>1314</v>
      </c>
      <c r="TZ1" s="181" t="s">
        <v>1316</v>
      </c>
      <c r="UA1" s="181" t="s">
        <v>1318</v>
      </c>
      <c r="UB1" s="181" t="s">
        <v>1320</v>
      </c>
      <c r="UC1" s="178" t="s">
        <v>1322</v>
      </c>
      <c r="UD1" s="181" t="s">
        <v>1324</v>
      </c>
      <c r="UE1" s="181" t="s">
        <v>1326</v>
      </c>
      <c r="UF1" s="181" t="s">
        <v>1328</v>
      </c>
      <c r="UG1" s="181" t="s">
        <v>1330</v>
      </c>
      <c r="UH1" s="181" t="s">
        <v>1332</v>
      </c>
      <c r="UI1" s="184"/>
    </row>
    <row r="2" spans="1:555" s="122" customFormat="1" hidden="1" x14ac:dyDescent="0.25">
      <c r="A2" s="122" t="s">
        <v>1355</v>
      </c>
      <c r="B2" s="122" t="s">
        <v>1357</v>
      </c>
      <c r="C2" s="122" t="s">
        <v>469</v>
      </c>
      <c r="D2" s="122" t="s">
        <v>1356</v>
      </c>
      <c r="E2" s="122" t="s">
        <v>1358</v>
      </c>
      <c r="F2" s="122" t="s">
        <v>470</v>
      </c>
      <c r="G2" s="160" t="s">
        <v>1359</v>
      </c>
      <c r="H2" s="122" t="s">
        <v>1360</v>
      </c>
      <c r="I2" s="122" t="s">
        <v>1361</v>
      </c>
      <c r="J2" s="122" t="s">
        <v>1443</v>
      </c>
      <c r="K2" s="122" t="s">
        <v>1362</v>
      </c>
      <c r="L2" s="122" t="s">
        <v>1363</v>
      </c>
      <c r="M2" s="122" t="s">
        <v>1364</v>
      </c>
      <c r="N2" s="122" t="s">
        <v>1365</v>
      </c>
      <c r="O2" s="122" t="s">
        <v>1366</v>
      </c>
      <c r="P2" s="122" t="s">
        <v>1468</v>
      </c>
      <c r="Q2" s="122" t="s">
        <v>1503</v>
      </c>
      <c r="R2" s="459" t="str">
        <f>+Presupuesto!D11</f>
        <v>Recurrente</v>
      </c>
      <c r="S2" s="459" t="str">
        <f>+Presupuesto!E11</f>
        <v>Programa / Proyecto 2017</v>
      </c>
      <c r="U2" s="122" t="s">
        <v>392</v>
      </c>
      <c r="V2" s="122" t="s">
        <v>410</v>
      </c>
      <c r="W2" s="122" t="s">
        <v>393</v>
      </c>
      <c r="X2" s="122" t="s">
        <v>394</v>
      </c>
      <c r="Y2" s="122" t="s">
        <v>395</v>
      </c>
      <c r="Z2" s="122" t="s">
        <v>396</v>
      </c>
      <c r="AA2" s="122" t="s">
        <v>397</v>
      </c>
      <c r="AB2" s="122" t="s">
        <v>398</v>
      </c>
      <c r="AC2" s="122" t="s">
        <v>399</v>
      </c>
      <c r="AD2" s="122" t="s">
        <v>400</v>
      </c>
      <c r="AE2" s="122" t="s">
        <v>401</v>
      </c>
      <c r="AF2" s="122" t="s">
        <v>402</v>
      </c>
      <c r="AH2" s="454" t="s">
        <v>418</v>
      </c>
      <c r="AI2" s="454" t="s">
        <v>419</v>
      </c>
      <c r="AJ2" s="454" t="s">
        <v>420</v>
      </c>
      <c r="AK2" s="454" t="s">
        <v>421</v>
      </c>
      <c r="AL2" s="454" t="s">
        <v>422</v>
      </c>
      <c r="AM2" s="454" t="s">
        <v>425</v>
      </c>
      <c r="AN2" s="454" t="s">
        <v>423</v>
      </c>
      <c r="AO2" s="454" t="s">
        <v>424</v>
      </c>
      <c r="AP2" s="454" t="s">
        <v>426</v>
      </c>
      <c r="AQ2" s="454" t="s">
        <v>427</v>
      </c>
      <c r="AR2" s="454" t="s">
        <v>428</v>
      </c>
      <c r="AS2" s="454" t="s">
        <v>429</v>
      </c>
      <c r="AT2" s="454" t="s">
        <v>430</v>
      </c>
      <c r="AU2" s="454" t="s">
        <v>431</v>
      </c>
      <c r="AV2" s="454" t="s">
        <v>432</v>
      </c>
      <c r="AW2" s="454" t="s">
        <v>433</v>
      </c>
      <c r="AX2" s="454" t="s">
        <v>434</v>
      </c>
      <c r="AY2" s="454" t="s">
        <v>435</v>
      </c>
      <c r="AZ2" s="454" t="s">
        <v>436</v>
      </c>
      <c r="BA2" s="454" t="s">
        <v>437</v>
      </c>
      <c r="BB2" s="454" t="s">
        <v>438</v>
      </c>
      <c r="BC2" s="454" t="s">
        <v>439</v>
      </c>
      <c r="BD2" s="454" t="s">
        <v>440</v>
      </c>
      <c r="BE2" s="454" t="s">
        <v>441</v>
      </c>
      <c r="BF2" s="454" t="s">
        <v>442</v>
      </c>
      <c r="BG2" s="454" t="s">
        <v>443</v>
      </c>
      <c r="BH2" s="454" t="s">
        <v>444</v>
      </c>
      <c r="BI2" s="454" t="s">
        <v>445</v>
      </c>
      <c r="BJ2" s="454" t="s">
        <v>446</v>
      </c>
      <c r="BK2" s="454" t="s">
        <v>447</v>
      </c>
      <c r="BL2" s="454" t="s">
        <v>448</v>
      </c>
      <c r="BM2" s="454" t="s">
        <v>449</v>
      </c>
      <c r="BN2" s="454" t="s">
        <v>450</v>
      </c>
      <c r="BO2" s="454" t="s">
        <v>451</v>
      </c>
      <c r="BP2" s="454" t="s">
        <v>452</v>
      </c>
      <c r="BQ2" s="454" t="s">
        <v>453</v>
      </c>
      <c r="BR2" s="454" t="s">
        <v>454</v>
      </c>
      <c r="BS2" s="454" t="s">
        <v>455</v>
      </c>
      <c r="BT2" s="454" t="s">
        <v>456</v>
      </c>
      <c r="BU2" s="454" t="s">
        <v>457</v>
      </c>
    </row>
    <row r="3" spans="1:555" hidden="1" x14ac:dyDescent="0.25">
      <c r="AH3" s="455">
        <v>2500</v>
      </c>
      <c r="AI3" s="455">
        <v>1900</v>
      </c>
      <c r="AJ3" s="455">
        <v>1650</v>
      </c>
      <c r="AK3" s="455">
        <v>1580</v>
      </c>
      <c r="AL3" s="455">
        <v>2250</v>
      </c>
      <c r="AM3" s="455">
        <v>1650</v>
      </c>
      <c r="AN3" s="455">
        <v>1400</v>
      </c>
      <c r="AO3" s="456">
        <v>1340</v>
      </c>
      <c r="AP3" s="456">
        <v>2000</v>
      </c>
      <c r="AQ3" s="456">
        <v>1400</v>
      </c>
      <c r="AR3" s="456">
        <v>1150</v>
      </c>
      <c r="AS3" s="456">
        <v>1100</v>
      </c>
      <c r="AT3" s="456">
        <v>1750</v>
      </c>
      <c r="AU3" s="456">
        <v>1150</v>
      </c>
      <c r="AV3" s="456">
        <v>900</v>
      </c>
      <c r="AW3" s="456">
        <v>860</v>
      </c>
      <c r="AX3" s="456">
        <v>1200</v>
      </c>
      <c r="AY3" s="457">
        <v>900</v>
      </c>
      <c r="AZ3" s="457">
        <v>650</v>
      </c>
      <c r="BA3" s="457">
        <v>620</v>
      </c>
      <c r="BB3" s="455">
        <f>+'Cuadro Resumen'!C213</f>
        <v>5759.1495000000004</v>
      </c>
      <c r="BC3" s="455">
        <f>+'Cuadro Resumen'!D213</f>
        <v>5307.4515000000001</v>
      </c>
      <c r="BD3" s="455">
        <f>+'Cuadro Resumen'!E213</f>
        <v>6775.47</v>
      </c>
      <c r="BE3" s="455">
        <f>+'Cuadro Resumen'!F213</f>
        <v>6323.7719999999999</v>
      </c>
      <c r="BF3" s="455">
        <f>+'Cuadro Resumen'!C214</f>
        <v>5081.6025</v>
      </c>
      <c r="BG3" s="455">
        <f>+'Cuadro Resumen'!D214</f>
        <v>4629.9045000000006</v>
      </c>
      <c r="BH3" s="455">
        <f>+'Cuadro Resumen'!E214</f>
        <v>6097.9230000000007</v>
      </c>
      <c r="BI3" s="455">
        <f>+'Cuadro Resumen'!F214</f>
        <v>5646.2250000000004</v>
      </c>
      <c r="BJ3" s="456">
        <f>+'Cuadro Resumen'!C215</f>
        <v>4404.0555000000004</v>
      </c>
      <c r="BK3" s="456">
        <f>+'Cuadro Resumen'!D215</f>
        <v>4065.2820000000002</v>
      </c>
      <c r="BL3" s="456">
        <f>+'Cuadro Resumen'!E215</f>
        <v>5420.3760000000002</v>
      </c>
      <c r="BM3" s="456">
        <f>+'Cuadro Resumen'!F215</f>
        <v>4968.6779999999999</v>
      </c>
      <c r="BN3" s="456">
        <f>+'Cuadro Resumen'!C216</f>
        <v>3726.5085000000004</v>
      </c>
      <c r="BO3" s="456">
        <f>+'Cuadro Resumen'!D216</f>
        <v>3387.7350000000001</v>
      </c>
      <c r="BP3" s="456">
        <f>+'Cuadro Resumen'!E216</f>
        <v>4742.8290000000006</v>
      </c>
      <c r="BQ3" s="456">
        <f>+'Cuadro Resumen'!F216</f>
        <v>4404.0555000000004</v>
      </c>
      <c r="BR3" s="456">
        <f>+'Cuadro Resumen'!C217</f>
        <v>3274.8105</v>
      </c>
      <c r="BS3" s="456">
        <f>+'Cuadro Resumen'!D217</f>
        <v>3048.9615000000003</v>
      </c>
      <c r="BT3" s="456">
        <f>+'Cuadro Resumen'!E217</f>
        <v>4178.2065000000002</v>
      </c>
      <c r="BU3" s="456">
        <f>+'Cuadro Resumen'!F217</f>
        <v>3839.433</v>
      </c>
    </row>
    <row r="4" spans="1:555" ht="15.75" thickBot="1" x14ac:dyDescent="0.3"/>
    <row r="5" spans="1:555" ht="27" thickBot="1" x14ac:dyDescent="0.3">
      <c r="C5" s="87" t="s">
        <v>386</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2">
        <f>SUM(F17:F38)</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390</v>
      </c>
      <c r="D13" s="368"/>
      <c r="E13" s="93"/>
      <c r="F13" s="93"/>
      <c r="G13" s="93"/>
      <c r="H13" s="76"/>
      <c r="I13" s="76"/>
      <c r="J13" s="76"/>
      <c r="K13" s="112"/>
    </row>
    <row r="14" spans="1:555" ht="18.75" x14ac:dyDescent="0.2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Proceso...'!$G:$H,2,FALSE),IFERROR(VLOOKUP(D13,'12.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U.'!$G:$H,2,0)))))))))))))))))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129</v>
      </c>
      <c r="H16" s="136" t="s">
        <v>46</v>
      </c>
      <c r="I16" s="133" t="s">
        <v>130</v>
      </c>
      <c r="J16" s="133" t="s">
        <v>408</v>
      </c>
      <c r="K16" s="133" t="s">
        <v>409</v>
      </c>
      <c r="L16" s="133" t="s">
        <v>463</v>
      </c>
    </row>
    <row r="17" spans="3:12" x14ac:dyDescent="0.25">
      <c r="C17" s="141"/>
      <c r="D17" s="158"/>
      <c r="E17" s="115"/>
      <c r="F17" s="97">
        <f t="shared" ref="F17:F38" si="0">D17*E17</f>
        <v>0</v>
      </c>
      <c r="G17" s="161"/>
      <c r="H17" s="142" t="s">
        <v>1064</v>
      </c>
      <c r="I17" s="130" t="str">
        <f>VLOOKUP(H17,Presupuesto!$B$11:$C$565,2,0)</f>
        <v>BECAS</v>
      </c>
      <c r="J17" s="218" t="s">
        <v>1443</v>
      </c>
      <c r="K17" s="98" t="s">
        <v>392</v>
      </c>
      <c r="L17" s="98"/>
    </row>
    <row r="18" spans="3:12" x14ac:dyDescent="0.25">
      <c r="C18" s="141"/>
      <c r="D18" s="158"/>
      <c r="E18" s="123"/>
      <c r="F18" s="97">
        <f t="shared" si="0"/>
        <v>0</v>
      </c>
      <c r="G18" s="161"/>
      <c r="H18" s="142" t="s">
        <v>1066</v>
      </c>
      <c r="I18" s="130" t="str">
        <f>VLOOKUP(H18,Presupuesto!$B$11:$C$565,2,0)</f>
        <v>BECAS ESTUDIANTES DE PREGRADO (PLAN REFORMA)</v>
      </c>
      <c r="J18" s="98" t="str">
        <f>$J$17</f>
        <v>Posgrado</v>
      </c>
      <c r="K18" s="98" t="s">
        <v>410</v>
      </c>
      <c r="L18" s="98"/>
    </row>
    <row r="19" spans="3:12" x14ac:dyDescent="0.25">
      <c r="C19" s="141"/>
      <c r="D19" s="158"/>
      <c r="E19" s="123"/>
      <c r="F19" s="97">
        <f t="shared" si="0"/>
        <v>0</v>
      </c>
      <c r="G19" s="161"/>
      <c r="H19" s="142" t="s">
        <v>1068</v>
      </c>
      <c r="I19" s="130" t="str">
        <f>VLOOKUP(H19,Presupuesto!$B$11:$C$565,2,0)</f>
        <v>BECAS CONVENIO MINISTERIO SALUD -IHSS-UNAH</v>
      </c>
      <c r="J19" s="98" t="str">
        <f t="shared" ref="J19:J37" si="1">$J$17</f>
        <v>Posgrado</v>
      </c>
      <c r="K19" s="98" t="s">
        <v>410</v>
      </c>
      <c r="L19" s="98"/>
    </row>
    <row r="20" spans="3:12" x14ac:dyDescent="0.25">
      <c r="C20" s="141"/>
      <c r="D20" s="158"/>
      <c r="E20" s="123"/>
      <c r="F20" s="97">
        <f t="shared" si="0"/>
        <v>0</v>
      </c>
      <c r="G20" s="161"/>
      <c r="H20" s="142" t="s">
        <v>1070</v>
      </c>
      <c r="I20" s="130" t="str">
        <f>VLOOKUP(H20,Presupuesto!$B$11:$C$565,2,0)</f>
        <v>BECAS DE ACTUALIZACION Y CAPACITACION DOCENTE</v>
      </c>
      <c r="J20" s="98" t="str">
        <f t="shared" si="1"/>
        <v>Posgrado</v>
      </c>
      <c r="K20" s="98" t="s">
        <v>410</v>
      </c>
      <c r="L20" s="98"/>
    </row>
    <row r="21" spans="3:12" x14ac:dyDescent="0.25">
      <c r="C21" s="141"/>
      <c r="D21" s="158"/>
      <c r="E21" s="123"/>
      <c r="F21" s="97">
        <f t="shared" si="0"/>
        <v>0</v>
      </c>
      <c r="G21" s="161"/>
      <c r="H21" s="142" t="s">
        <v>1072</v>
      </c>
      <c r="I21" s="130" t="str">
        <f>VLOOKUP(H21,Presupuesto!$B$11:$C$565,2,0)</f>
        <v>BECAS EXCELENCIA ACADEMICA</v>
      </c>
      <c r="J21" s="98" t="str">
        <f t="shared" si="1"/>
        <v>Posgrado</v>
      </c>
      <c r="K21" s="98" t="s">
        <v>410</v>
      </c>
      <c r="L21" s="98"/>
    </row>
    <row r="22" spans="3:12" x14ac:dyDescent="0.25">
      <c r="C22" s="141"/>
      <c r="D22" s="158"/>
      <c r="E22" s="123"/>
      <c r="F22" s="97">
        <f t="shared" si="0"/>
        <v>0</v>
      </c>
      <c r="G22" s="161"/>
      <c r="H22" s="142" t="s">
        <v>1074</v>
      </c>
      <c r="I22" s="130" t="str">
        <f>VLOOKUP(H22,Presupuesto!$B$11:$C$565,2,0)</f>
        <v>BECAS PARA HIJOS DE LOS TRABAJADORES</v>
      </c>
      <c r="J22" s="98" t="str">
        <f t="shared" si="1"/>
        <v>Posgrado</v>
      </c>
      <c r="K22" s="98" t="s">
        <v>399</v>
      </c>
      <c r="L22" s="98"/>
    </row>
    <row r="23" spans="3:12" x14ac:dyDescent="0.25">
      <c r="C23" s="141"/>
      <c r="D23" s="158"/>
      <c r="E23" s="123"/>
      <c r="F23" s="97">
        <f t="shared" si="0"/>
        <v>0</v>
      </c>
      <c r="G23" s="161"/>
      <c r="H23" s="142" t="s">
        <v>1076</v>
      </c>
      <c r="I23" s="130" t="str">
        <f>VLOOKUP(H23,Presupuesto!$B$11:$C$565,2,0)</f>
        <v>BECAS POST GRADO ECONOMIA</v>
      </c>
      <c r="J23" s="98" t="str">
        <f t="shared" si="1"/>
        <v>Posgrado</v>
      </c>
      <c r="K23" s="98" t="s">
        <v>410</v>
      </c>
      <c r="L23" s="98"/>
    </row>
    <row r="24" spans="3:12" x14ac:dyDescent="0.25">
      <c r="C24" s="141"/>
      <c r="D24" s="158"/>
      <c r="E24" s="123"/>
      <c r="F24" s="97">
        <f t="shared" si="0"/>
        <v>0</v>
      </c>
      <c r="G24" s="161"/>
      <c r="H24" s="142" t="s">
        <v>1078</v>
      </c>
      <c r="I24" s="130" t="str">
        <f>VLOOKUP(H24,Presupuesto!$B$11:$C$565,2,0)</f>
        <v>BECAS POST-GRADO DE TRABAJO SOCIAL</v>
      </c>
      <c r="J24" s="98" t="str">
        <f t="shared" si="1"/>
        <v>Posgrado</v>
      </c>
      <c r="K24" s="98" t="s">
        <v>410</v>
      </c>
      <c r="L24" s="98"/>
    </row>
    <row r="25" spans="3:12" x14ac:dyDescent="0.25">
      <c r="C25" s="141"/>
      <c r="D25" s="158"/>
      <c r="E25" s="123"/>
      <c r="F25" s="97">
        <f t="shared" si="0"/>
        <v>0</v>
      </c>
      <c r="G25" s="161"/>
      <c r="H25" s="142" t="s">
        <v>1080</v>
      </c>
      <c r="I25" s="130" t="str">
        <f>VLOOKUP(H25,Presupuesto!$B$11:$C$565,2,0)</f>
        <v>BECAS PROFESIONALIZANTES DOCENTE (PLAN DE REFORMA)</v>
      </c>
      <c r="J25" s="98" t="str">
        <f t="shared" si="1"/>
        <v>Posgrado</v>
      </c>
      <c r="K25" s="98" t="s">
        <v>410</v>
      </c>
      <c r="L25" s="98"/>
    </row>
    <row r="26" spans="3:12" x14ac:dyDescent="0.25">
      <c r="C26" s="141"/>
      <c r="D26" s="158"/>
      <c r="E26" s="123"/>
      <c r="F26" s="97">
        <f t="shared" si="0"/>
        <v>0</v>
      </c>
      <c r="G26" s="161"/>
      <c r="H26" s="142" t="s">
        <v>1082</v>
      </c>
      <c r="I26" s="130" t="str">
        <f>VLOOKUP(H26,Presupuesto!$B$11:$C$565,2,0)</f>
        <v>PRESTAMOS A ESTUDIANTES</v>
      </c>
      <c r="J26" s="98" t="str">
        <f t="shared" si="1"/>
        <v>Posgrado</v>
      </c>
      <c r="K26" s="98" t="s">
        <v>410</v>
      </c>
      <c r="L26" s="98"/>
    </row>
    <row r="27" spans="3:12" x14ac:dyDescent="0.25">
      <c r="C27" s="141"/>
      <c r="D27" s="158"/>
      <c r="E27" s="123"/>
      <c r="F27" s="97">
        <f t="shared" si="0"/>
        <v>0</v>
      </c>
      <c r="G27" s="161"/>
      <c r="H27" s="142" t="s">
        <v>1084</v>
      </c>
      <c r="I27" s="130" t="str">
        <f>VLOOKUP(H27,Presupuesto!$B$11:$C$565,2,0)</f>
        <v>BECAS TALLERES EMPLEADOS A ESTUDIANTES</v>
      </c>
      <c r="J27" s="98" t="str">
        <f t="shared" si="1"/>
        <v>Posgrado</v>
      </c>
      <c r="K27" s="98" t="s">
        <v>410</v>
      </c>
      <c r="L27" s="98"/>
    </row>
    <row r="28" spans="3:12" x14ac:dyDescent="0.25">
      <c r="C28" s="141"/>
      <c r="D28" s="158"/>
      <c r="E28" s="123"/>
      <c r="F28" s="97">
        <f t="shared" si="0"/>
        <v>0</v>
      </c>
      <c r="G28" s="161"/>
      <c r="H28" s="142" t="s">
        <v>1086</v>
      </c>
      <c r="I28" s="130" t="str">
        <f>VLOOKUP(H28,Presupuesto!$B$11:$C$565,2,0)</f>
        <v>BECAS EXTERNAS DE INVESTIGACION</v>
      </c>
      <c r="J28" s="98" t="str">
        <f t="shared" si="1"/>
        <v>Posgrado</v>
      </c>
      <c r="K28" s="98" t="s">
        <v>410</v>
      </c>
      <c r="L28" s="98"/>
    </row>
    <row r="29" spans="3:12" x14ac:dyDescent="0.25">
      <c r="C29" s="141"/>
      <c r="D29" s="158"/>
      <c r="E29" s="123"/>
      <c r="F29" s="97">
        <f t="shared" si="0"/>
        <v>0</v>
      </c>
      <c r="G29" s="161"/>
      <c r="H29" s="142" t="s">
        <v>1088</v>
      </c>
      <c r="I29" s="130" t="str">
        <f>VLOOKUP(H29,Presupuesto!$B$11:$C$565,2,0)</f>
        <v>BECAS SUSTANTIVAS DE INVESTIGACIÓN</v>
      </c>
      <c r="J29" s="98" t="str">
        <f t="shared" si="1"/>
        <v>Posgrado</v>
      </c>
      <c r="K29" s="98" t="s">
        <v>410</v>
      </c>
      <c r="L29" s="98"/>
    </row>
    <row r="30" spans="3:12" x14ac:dyDescent="0.25">
      <c r="C30" s="141"/>
      <c r="D30" s="158"/>
      <c r="E30" s="123"/>
      <c r="F30" s="97">
        <f t="shared" si="0"/>
        <v>0</v>
      </c>
      <c r="G30" s="161"/>
      <c r="H30" s="142" t="s">
        <v>1090</v>
      </c>
      <c r="I30" s="130" t="str">
        <f>VLOOKUP(H30,Presupuesto!$B$11:$C$565,2,0)</f>
        <v>BECAS DE INVEST, PARA ESTUD. DE PREGRADO</v>
      </c>
      <c r="J30" s="98" t="str">
        <f t="shared" si="1"/>
        <v>Posgrado</v>
      </c>
      <c r="K30" s="98" t="s">
        <v>410</v>
      </c>
      <c r="L30" s="98"/>
    </row>
    <row r="31" spans="3:12" x14ac:dyDescent="0.25">
      <c r="C31" s="141"/>
      <c r="D31" s="158"/>
      <c r="E31" s="123"/>
      <c r="F31" s="97">
        <f t="shared" si="0"/>
        <v>0</v>
      </c>
      <c r="G31" s="161"/>
      <c r="H31" s="142" t="s">
        <v>1092</v>
      </c>
      <c r="I31" s="130" t="str">
        <f>VLOOKUP(H31,Presupuesto!$B$11:$C$565,2,0)</f>
        <v>BECAS DE INVEST. PARA DOC.DE POST-GRADO</v>
      </c>
      <c r="J31" s="98" t="str">
        <f t="shared" si="1"/>
        <v>Posgrado</v>
      </c>
      <c r="K31" s="98" t="s">
        <v>410</v>
      </c>
      <c r="L31" s="98"/>
    </row>
    <row r="32" spans="3:12" x14ac:dyDescent="0.25">
      <c r="C32" s="141"/>
      <c r="D32" s="158"/>
      <c r="E32" s="123"/>
      <c r="F32" s="97">
        <f t="shared" si="0"/>
        <v>0</v>
      </c>
      <c r="G32" s="161"/>
      <c r="H32" s="142" t="s">
        <v>1094</v>
      </c>
      <c r="I32" s="130" t="str">
        <f>VLOOKUP(H32,Presupuesto!$B$11:$C$565,2,0)</f>
        <v>BECAS BÁSICAS DE INVESTIGACIÓN</v>
      </c>
      <c r="J32" s="98" t="str">
        <f t="shared" si="1"/>
        <v>Posgrado</v>
      </c>
      <c r="K32" s="98" t="s">
        <v>410</v>
      </c>
      <c r="L32" s="98"/>
    </row>
    <row r="33" spans="3:12" x14ac:dyDescent="0.25">
      <c r="C33" s="141"/>
      <c r="D33" s="158"/>
      <c r="E33" s="123"/>
      <c r="F33" s="97">
        <f t="shared" si="0"/>
        <v>0</v>
      </c>
      <c r="G33" s="161"/>
      <c r="H33" s="142" t="s">
        <v>1096</v>
      </c>
      <c r="I33" s="130" t="str">
        <f>VLOOKUP(H33,Presupuesto!$B$11:$C$565,2,0)</f>
        <v>BECAS RELEVO GENERACIONAL</v>
      </c>
      <c r="J33" s="98" t="str">
        <f t="shared" si="1"/>
        <v>Posgrado</v>
      </c>
      <c r="K33" s="98" t="s">
        <v>410</v>
      </c>
      <c r="L33" s="98"/>
    </row>
    <row r="34" spans="3:12" x14ac:dyDescent="0.25">
      <c r="C34" s="141"/>
      <c r="D34" s="158"/>
      <c r="E34" s="123"/>
      <c r="F34" s="97">
        <f t="shared" si="0"/>
        <v>0</v>
      </c>
      <c r="G34" s="161"/>
      <c r="H34" s="142" t="s">
        <v>1098</v>
      </c>
      <c r="I34" s="130" t="str">
        <f>VLOOKUP(H34,Presupuesto!$B$11:$C$565,2,0)</f>
        <v>BECAS DE EQUIDAD</v>
      </c>
      <c r="J34" s="98" t="str">
        <f t="shared" si="1"/>
        <v>Posgrado</v>
      </c>
      <c r="K34" s="98" t="s">
        <v>410</v>
      </c>
      <c r="L34" s="98"/>
    </row>
    <row r="35" spans="3:12" x14ac:dyDescent="0.25">
      <c r="C35" s="141"/>
      <c r="D35" s="158"/>
      <c r="E35" s="123"/>
      <c r="F35" s="97">
        <f t="shared" si="0"/>
        <v>0</v>
      </c>
      <c r="G35" s="161"/>
      <c r="H35" s="142" t="s">
        <v>1100</v>
      </c>
      <c r="I35" s="130" t="str">
        <f>VLOOKUP(H35,Presupuesto!$B$11:$C$565,2,0)</f>
        <v>PREMIOS AL INVESTIGADOR</v>
      </c>
      <c r="J35" s="98" t="str">
        <f t="shared" si="1"/>
        <v>Posgrado</v>
      </c>
      <c r="K35" s="98" t="s">
        <v>410</v>
      </c>
      <c r="L35" s="98"/>
    </row>
    <row r="36" spans="3:12" x14ac:dyDescent="0.25">
      <c r="C36" s="141"/>
      <c r="D36" s="158"/>
      <c r="E36" s="123"/>
      <c r="F36" s="97">
        <f t="shared" si="0"/>
        <v>0</v>
      </c>
      <c r="G36" s="161"/>
      <c r="H36" s="142" t="s">
        <v>1102</v>
      </c>
      <c r="I36" s="130" t="str">
        <f>VLOOKUP(H36,Presupuesto!$B$11:$C$565,2,0)</f>
        <v>BECAS DE INV. PARA ESTUDIANTES DE POSTGRADO</v>
      </c>
      <c r="J36" s="98" t="str">
        <f t="shared" si="1"/>
        <v>Posgrado</v>
      </c>
      <c r="K36" s="98" t="s">
        <v>410</v>
      </c>
      <c r="L36" s="98"/>
    </row>
    <row r="37" spans="3:12" x14ac:dyDescent="0.25">
      <c r="C37" s="141"/>
      <c r="D37" s="158"/>
      <c r="E37" s="123"/>
      <c r="F37" s="97">
        <f t="shared" si="0"/>
        <v>0</v>
      </c>
      <c r="G37" s="161"/>
      <c r="H37" s="142" t="s">
        <v>1104</v>
      </c>
      <c r="I37" s="130" t="str">
        <f>VLOOKUP(H37,Presupuesto!$B$11:$C$565,2,0)</f>
        <v>Becas Especiales de Investigación</v>
      </c>
      <c r="J37" s="98" t="str">
        <f t="shared" si="1"/>
        <v>Posgrado</v>
      </c>
      <c r="K37" s="98" t="s">
        <v>410</v>
      </c>
      <c r="L37" s="98"/>
    </row>
    <row r="38" spans="3:12" ht="15.75" thickBot="1" x14ac:dyDescent="0.3">
      <c r="C38" s="147"/>
      <c r="D38" s="222"/>
      <c r="E38" s="103"/>
      <c r="F38" s="105">
        <f t="shared" si="0"/>
        <v>0</v>
      </c>
      <c r="G38" s="162"/>
      <c r="H38" s="148"/>
      <c r="I38" s="132" t="e">
        <f>VLOOKUP(H38,Presupuesto!$B$11:$C$565,2,0)</f>
        <v>#N/A</v>
      </c>
      <c r="J38" s="106" t="str">
        <f>$J$17</f>
        <v>Posgrado</v>
      </c>
      <c r="K38" s="124" t="s">
        <v>392</v>
      </c>
      <c r="L38" s="124"/>
    </row>
    <row r="39" spans="3:12" x14ac:dyDescent="0.25">
      <c r="F39" s="90"/>
      <c r="G39" s="89"/>
      <c r="H39" s="90"/>
      <c r="I39" s="90"/>
    </row>
    <row r="40" spans="3:12" ht="15.75" thickBot="1" x14ac:dyDescent="0.3"/>
    <row r="41" spans="3:12" ht="15.75" thickBot="1" x14ac:dyDescent="0.3">
      <c r="C41" s="157" t="s">
        <v>53</v>
      </c>
      <c r="D41" s="372">
        <f>SUM(F48:F69)</f>
        <v>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2" t="s">
        <v>390</v>
      </c>
      <c r="D44" s="368"/>
      <c r="E44" s="93"/>
      <c r="F44" s="93"/>
      <c r="G44" s="93"/>
      <c r="H44" s="76"/>
      <c r="I44" s="76"/>
      <c r="J44" s="76"/>
      <c r="K44" s="112"/>
    </row>
    <row r="45" spans="3:12" ht="18.75" x14ac:dyDescent="0.25">
      <c r="C45" s="210" t="e">
        <f>IFERROR(VLOOKUP(D44,'1. Desarrollo e Innov. Curricu.'!$F:$G,2,FALSE),IFERROR(VLOOKUP(D44,'2. Investigación Científica'!$F:$G,2,FALSE),IFERROR(VLOOKUP(D44,'3. Vinculación Univ. Sociedad'!$F:$G,2,FALSE),IFERROR(VLOOKUP(D44,'4. Docencia y Profesorado Univ.'!$F:$G,2,FALSE),IFERROR(VLOOKUP(D44,'5. Estudiantes y Graduados'!$F:$G,2,FALSE),IFERROR(VLOOKUP(D44,'11. Gestion Administrativa'!$F:$G,2,FALSE),IFERROR(VLOOKUP(D44,'13. Gestión Académica'!$F:$G,2,FALSE),IFERROR(VLOOKUP(D44,'9. Asegura. de la Calid. y M'!$F:$G,2,FALSE),IFERROR(VLOOKUP(D44,'6. Gestión del Conocimiento'!$F:$G,2,FALSE),IFERROR(VLOOKUP(D44,'15. Gobernabilidad y Proceso...'!$G:$H,2,FALSE),IFERROR(VLOOKUP(D44,'12. Gestión del Talento Humano'!$F:$G,2,FALSE),IFERROR(VLOOKUP(D44,'14. Internacional... de la E.S.'!$F:$G,2,FALSE),IFERROR(VLOOKUP(D44,'10. Posgrado'!$F:$G,2,FALSE),IFERROR(VLOOKUP(D44,'17. Gestión TIC'!$F:$G,2,FALSE),IFERROR(VLOOKUP(D44,'16. Desa. del Sistema Educ.Sup.'!$F:$G,2,FALSE),IFERROR(VLOOKUP(D44,'8. Cultura de Inno. Insti...'!$F:$G,2,FALSE),VLOOKUP(D44,'7. Lo Esencial de la Reforma U.'!$G:$H,2,0)))))))))))))))))</f>
        <v>#N/A</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129</v>
      </c>
      <c r="H47" s="136" t="s">
        <v>46</v>
      </c>
      <c r="I47" s="133" t="s">
        <v>130</v>
      </c>
      <c r="J47" s="133" t="s">
        <v>408</v>
      </c>
      <c r="K47" s="133" t="s">
        <v>409</v>
      </c>
      <c r="L47" s="133" t="s">
        <v>463</v>
      </c>
    </row>
    <row r="48" spans="3:12" x14ac:dyDescent="0.25">
      <c r="C48" s="141"/>
      <c r="D48" s="158"/>
      <c r="E48" s="115"/>
      <c r="F48" s="97">
        <f t="shared" ref="F48:F69" si="2">D48*E48</f>
        <v>0</v>
      </c>
      <c r="G48" s="161"/>
      <c r="H48" s="142" t="s">
        <v>1064</v>
      </c>
      <c r="I48" s="130" t="str">
        <f>VLOOKUP(H48,Presupuesto!$B$11:$C$565,2,0)</f>
        <v>BECAS</v>
      </c>
      <c r="J48" s="218" t="s">
        <v>1443</v>
      </c>
      <c r="K48" s="98" t="s">
        <v>392</v>
      </c>
      <c r="L48" s="98"/>
    </row>
    <row r="49" spans="3:12" x14ac:dyDescent="0.25">
      <c r="C49" s="141"/>
      <c r="D49" s="158"/>
      <c r="E49" s="123"/>
      <c r="F49" s="97">
        <f t="shared" si="2"/>
        <v>0</v>
      </c>
      <c r="G49" s="161"/>
      <c r="H49" s="142" t="s">
        <v>1066</v>
      </c>
      <c r="I49" s="130" t="str">
        <f>VLOOKUP(H49,Presupuesto!$B$11:$C$565,2,0)</f>
        <v>BECAS ESTUDIANTES DE PREGRADO (PLAN REFORMA)</v>
      </c>
      <c r="J49" s="98" t="str">
        <f>$J$48</f>
        <v>Posgrado</v>
      </c>
      <c r="K49" s="98" t="s">
        <v>410</v>
      </c>
      <c r="L49" s="98"/>
    </row>
    <row r="50" spans="3:12" x14ac:dyDescent="0.25">
      <c r="C50" s="141"/>
      <c r="D50" s="158"/>
      <c r="E50" s="123"/>
      <c r="F50" s="97">
        <f t="shared" si="2"/>
        <v>0</v>
      </c>
      <c r="G50" s="161"/>
      <c r="H50" s="142" t="s">
        <v>1068</v>
      </c>
      <c r="I50" s="130" t="str">
        <f>VLOOKUP(H50,Presupuesto!$B$11:$C$565,2,0)</f>
        <v>BECAS CONVENIO MINISTERIO SALUD -IHSS-UNAH</v>
      </c>
      <c r="J50" s="98" t="str">
        <f t="shared" ref="J50:J69" si="3">$J$48</f>
        <v>Posgrado</v>
      </c>
      <c r="K50" s="98" t="s">
        <v>410</v>
      </c>
      <c r="L50" s="98"/>
    </row>
    <row r="51" spans="3:12" x14ac:dyDescent="0.25">
      <c r="C51" s="141"/>
      <c r="D51" s="158"/>
      <c r="E51" s="123"/>
      <c r="F51" s="97">
        <f t="shared" si="2"/>
        <v>0</v>
      </c>
      <c r="G51" s="161"/>
      <c r="H51" s="142" t="s">
        <v>1070</v>
      </c>
      <c r="I51" s="130" t="str">
        <f>VLOOKUP(H51,Presupuesto!$B$11:$C$565,2,0)</f>
        <v>BECAS DE ACTUALIZACION Y CAPACITACION DOCENTE</v>
      </c>
      <c r="J51" s="98" t="str">
        <f t="shared" si="3"/>
        <v>Posgrado</v>
      </c>
      <c r="K51" s="98" t="s">
        <v>410</v>
      </c>
      <c r="L51" s="98"/>
    </row>
    <row r="52" spans="3:12" x14ac:dyDescent="0.25">
      <c r="C52" s="141"/>
      <c r="D52" s="158"/>
      <c r="E52" s="123"/>
      <c r="F52" s="97">
        <f t="shared" si="2"/>
        <v>0</v>
      </c>
      <c r="G52" s="161"/>
      <c r="H52" s="142" t="s">
        <v>1072</v>
      </c>
      <c r="I52" s="130" t="str">
        <f>VLOOKUP(H52,Presupuesto!$B$11:$C$565,2,0)</f>
        <v>BECAS EXCELENCIA ACADEMICA</v>
      </c>
      <c r="J52" s="98" t="str">
        <f t="shared" si="3"/>
        <v>Posgrado</v>
      </c>
      <c r="K52" s="98" t="s">
        <v>410</v>
      </c>
      <c r="L52" s="98"/>
    </row>
    <row r="53" spans="3:12" x14ac:dyDescent="0.25">
      <c r="C53" s="141"/>
      <c r="D53" s="158"/>
      <c r="E53" s="123"/>
      <c r="F53" s="97">
        <f t="shared" si="2"/>
        <v>0</v>
      </c>
      <c r="G53" s="161"/>
      <c r="H53" s="142" t="s">
        <v>1074</v>
      </c>
      <c r="I53" s="130" t="str">
        <f>VLOOKUP(H53,Presupuesto!$B$11:$C$565,2,0)</f>
        <v>BECAS PARA HIJOS DE LOS TRABAJADORES</v>
      </c>
      <c r="J53" s="98" t="str">
        <f t="shared" si="3"/>
        <v>Posgrado</v>
      </c>
      <c r="K53" s="98" t="s">
        <v>399</v>
      </c>
      <c r="L53" s="98"/>
    </row>
    <row r="54" spans="3:12" x14ac:dyDescent="0.25">
      <c r="C54" s="141"/>
      <c r="D54" s="158"/>
      <c r="E54" s="123"/>
      <c r="F54" s="97">
        <f t="shared" si="2"/>
        <v>0</v>
      </c>
      <c r="G54" s="161"/>
      <c r="H54" s="142" t="s">
        <v>1076</v>
      </c>
      <c r="I54" s="130" t="str">
        <f>VLOOKUP(H54,Presupuesto!$B$11:$C$565,2,0)</f>
        <v>BECAS POST GRADO ECONOMIA</v>
      </c>
      <c r="J54" s="98" t="str">
        <f t="shared" si="3"/>
        <v>Posgrado</v>
      </c>
      <c r="K54" s="98" t="s">
        <v>410</v>
      </c>
      <c r="L54" s="98"/>
    </row>
    <row r="55" spans="3:12" x14ac:dyDescent="0.25">
      <c r="C55" s="141"/>
      <c r="D55" s="158"/>
      <c r="E55" s="123"/>
      <c r="F55" s="97">
        <f t="shared" si="2"/>
        <v>0</v>
      </c>
      <c r="G55" s="161"/>
      <c r="H55" s="142" t="s">
        <v>1078</v>
      </c>
      <c r="I55" s="130" t="str">
        <f>VLOOKUP(H55,Presupuesto!$B$11:$C$565,2,0)</f>
        <v>BECAS POST-GRADO DE TRABAJO SOCIAL</v>
      </c>
      <c r="J55" s="98" t="str">
        <f t="shared" si="3"/>
        <v>Posgrado</v>
      </c>
      <c r="K55" s="98" t="s">
        <v>410</v>
      </c>
      <c r="L55" s="98"/>
    </row>
    <row r="56" spans="3:12" x14ac:dyDescent="0.25">
      <c r="C56" s="141"/>
      <c r="D56" s="158"/>
      <c r="E56" s="123"/>
      <c r="F56" s="97">
        <f t="shared" si="2"/>
        <v>0</v>
      </c>
      <c r="G56" s="161"/>
      <c r="H56" s="142" t="s">
        <v>1080</v>
      </c>
      <c r="I56" s="130" t="str">
        <f>VLOOKUP(H56,Presupuesto!$B$11:$C$565,2,0)</f>
        <v>BECAS PROFESIONALIZANTES DOCENTE (PLAN DE REFORMA)</v>
      </c>
      <c r="J56" s="98" t="str">
        <f t="shared" si="3"/>
        <v>Posgrado</v>
      </c>
      <c r="K56" s="98" t="s">
        <v>410</v>
      </c>
      <c r="L56" s="98"/>
    </row>
    <row r="57" spans="3:12" x14ac:dyDescent="0.25">
      <c r="C57" s="141"/>
      <c r="D57" s="158"/>
      <c r="E57" s="123"/>
      <c r="F57" s="97">
        <f t="shared" si="2"/>
        <v>0</v>
      </c>
      <c r="G57" s="161"/>
      <c r="H57" s="142" t="s">
        <v>1082</v>
      </c>
      <c r="I57" s="130" t="str">
        <f>VLOOKUP(H57,Presupuesto!$B$11:$C$565,2,0)</f>
        <v>PRESTAMOS A ESTUDIANTES</v>
      </c>
      <c r="J57" s="98" t="str">
        <f t="shared" si="3"/>
        <v>Posgrado</v>
      </c>
      <c r="K57" s="98" t="s">
        <v>410</v>
      </c>
      <c r="L57" s="98"/>
    </row>
    <row r="58" spans="3:12" x14ac:dyDescent="0.25">
      <c r="C58" s="141"/>
      <c r="D58" s="158"/>
      <c r="E58" s="123"/>
      <c r="F58" s="97">
        <f t="shared" si="2"/>
        <v>0</v>
      </c>
      <c r="G58" s="161"/>
      <c r="H58" s="142" t="s">
        <v>1084</v>
      </c>
      <c r="I58" s="130" t="str">
        <f>VLOOKUP(H58,Presupuesto!$B$11:$C$565,2,0)</f>
        <v>BECAS TALLERES EMPLEADOS A ESTUDIANTES</v>
      </c>
      <c r="J58" s="98" t="str">
        <f t="shared" si="3"/>
        <v>Posgrado</v>
      </c>
      <c r="K58" s="98" t="s">
        <v>410</v>
      </c>
      <c r="L58" s="98"/>
    </row>
    <row r="59" spans="3:12" x14ac:dyDescent="0.25">
      <c r="C59" s="141"/>
      <c r="D59" s="158"/>
      <c r="E59" s="123"/>
      <c r="F59" s="97">
        <f t="shared" si="2"/>
        <v>0</v>
      </c>
      <c r="G59" s="161"/>
      <c r="H59" s="142" t="s">
        <v>1086</v>
      </c>
      <c r="I59" s="130" t="str">
        <f>VLOOKUP(H59,Presupuesto!$B$11:$C$565,2,0)</f>
        <v>BECAS EXTERNAS DE INVESTIGACION</v>
      </c>
      <c r="J59" s="98" t="str">
        <f t="shared" si="3"/>
        <v>Posgrado</v>
      </c>
      <c r="K59" s="98" t="s">
        <v>410</v>
      </c>
      <c r="L59" s="98"/>
    </row>
    <row r="60" spans="3:12" x14ac:dyDescent="0.25">
      <c r="C60" s="141"/>
      <c r="D60" s="158"/>
      <c r="E60" s="123"/>
      <c r="F60" s="97">
        <f t="shared" si="2"/>
        <v>0</v>
      </c>
      <c r="G60" s="161"/>
      <c r="H60" s="142" t="s">
        <v>1088</v>
      </c>
      <c r="I60" s="130" t="str">
        <f>VLOOKUP(H60,Presupuesto!$B$11:$C$565,2,0)</f>
        <v>BECAS SUSTANTIVAS DE INVESTIGACIÓN</v>
      </c>
      <c r="J60" s="98" t="str">
        <f t="shared" si="3"/>
        <v>Posgrado</v>
      </c>
      <c r="K60" s="98" t="s">
        <v>410</v>
      </c>
      <c r="L60" s="98"/>
    </row>
    <row r="61" spans="3:12" x14ac:dyDescent="0.25">
      <c r="C61" s="141"/>
      <c r="D61" s="158"/>
      <c r="E61" s="123"/>
      <c r="F61" s="97">
        <f t="shared" si="2"/>
        <v>0</v>
      </c>
      <c r="G61" s="161"/>
      <c r="H61" s="142" t="s">
        <v>1090</v>
      </c>
      <c r="I61" s="130" t="str">
        <f>VLOOKUP(H61,Presupuesto!$B$11:$C$565,2,0)</f>
        <v>BECAS DE INVEST, PARA ESTUD. DE PREGRADO</v>
      </c>
      <c r="J61" s="98" t="str">
        <f t="shared" si="3"/>
        <v>Posgrado</v>
      </c>
      <c r="K61" s="98" t="s">
        <v>410</v>
      </c>
      <c r="L61" s="98"/>
    </row>
    <row r="62" spans="3:12" x14ac:dyDescent="0.25">
      <c r="C62" s="141"/>
      <c r="D62" s="158"/>
      <c r="E62" s="123"/>
      <c r="F62" s="97">
        <f t="shared" si="2"/>
        <v>0</v>
      </c>
      <c r="G62" s="161"/>
      <c r="H62" s="142" t="s">
        <v>1092</v>
      </c>
      <c r="I62" s="130" t="str">
        <f>VLOOKUP(H62,Presupuesto!$B$11:$C$565,2,0)</f>
        <v>BECAS DE INVEST. PARA DOC.DE POST-GRADO</v>
      </c>
      <c r="J62" s="98" t="str">
        <f t="shared" si="3"/>
        <v>Posgrado</v>
      </c>
      <c r="K62" s="98" t="s">
        <v>410</v>
      </c>
      <c r="L62" s="98"/>
    </row>
    <row r="63" spans="3:12" x14ac:dyDescent="0.25">
      <c r="C63" s="141"/>
      <c r="D63" s="158"/>
      <c r="E63" s="123"/>
      <c r="F63" s="97">
        <f t="shared" si="2"/>
        <v>0</v>
      </c>
      <c r="G63" s="161"/>
      <c r="H63" s="142" t="s">
        <v>1094</v>
      </c>
      <c r="I63" s="130" t="str">
        <f>VLOOKUP(H63,Presupuesto!$B$11:$C$565,2,0)</f>
        <v>BECAS BÁSICAS DE INVESTIGACIÓN</v>
      </c>
      <c r="J63" s="98" t="str">
        <f t="shared" si="3"/>
        <v>Posgrado</v>
      </c>
      <c r="K63" s="98" t="s">
        <v>410</v>
      </c>
      <c r="L63" s="98"/>
    </row>
    <row r="64" spans="3:12" x14ac:dyDescent="0.25">
      <c r="C64" s="141"/>
      <c r="D64" s="158"/>
      <c r="E64" s="123"/>
      <c r="F64" s="97">
        <f t="shared" si="2"/>
        <v>0</v>
      </c>
      <c r="G64" s="161"/>
      <c r="H64" s="142" t="s">
        <v>1096</v>
      </c>
      <c r="I64" s="130" t="str">
        <f>VLOOKUP(H64,Presupuesto!$B$11:$C$565,2,0)</f>
        <v>BECAS RELEVO GENERACIONAL</v>
      </c>
      <c r="J64" s="98" t="str">
        <f t="shared" si="3"/>
        <v>Posgrado</v>
      </c>
      <c r="K64" s="98" t="s">
        <v>410</v>
      </c>
      <c r="L64" s="98"/>
    </row>
    <row r="65" spans="3:12" x14ac:dyDescent="0.25">
      <c r="C65" s="141"/>
      <c r="D65" s="158"/>
      <c r="E65" s="123"/>
      <c r="F65" s="97">
        <f t="shared" si="2"/>
        <v>0</v>
      </c>
      <c r="G65" s="161"/>
      <c r="H65" s="142" t="s">
        <v>1098</v>
      </c>
      <c r="I65" s="130" t="str">
        <f>VLOOKUP(H65,Presupuesto!$B$11:$C$565,2,0)</f>
        <v>BECAS DE EQUIDAD</v>
      </c>
      <c r="J65" s="98" t="str">
        <f t="shared" si="3"/>
        <v>Posgrado</v>
      </c>
      <c r="K65" s="98" t="s">
        <v>410</v>
      </c>
      <c r="L65" s="98"/>
    </row>
    <row r="66" spans="3:12" x14ac:dyDescent="0.25">
      <c r="C66" s="141"/>
      <c r="D66" s="158"/>
      <c r="E66" s="123"/>
      <c r="F66" s="97">
        <f t="shared" si="2"/>
        <v>0</v>
      </c>
      <c r="G66" s="161"/>
      <c r="H66" s="142" t="s">
        <v>1100</v>
      </c>
      <c r="I66" s="130" t="str">
        <f>VLOOKUP(H66,Presupuesto!$B$11:$C$565,2,0)</f>
        <v>PREMIOS AL INVESTIGADOR</v>
      </c>
      <c r="J66" s="98" t="str">
        <f t="shared" si="3"/>
        <v>Posgrado</v>
      </c>
      <c r="K66" s="98" t="s">
        <v>410</v>
      </c>
      <c r="L66" s="98"/>
    </row>
    <row r="67" spans="3:12" x14ac:dyDescent="0.25">
      <c r="C67" s="141"/>
      <c r="D67" s="158"/>
      <c r="E67" s="123"/>
      <c r="F67" s="97">
        <f t="shared" si="2"/>
        <v>0</v>
      </c>
      <c r="G67" s="161"/>
      <c r="H67" s="142" t="s">
        <v>1102</v>
      </c>
      <c r="I67" s="130" t="str">
        <f>VLOOKUP(H67,Presupuesto!$B$11:$C$565,2,0)</f>
        <v>BECAS DE INV. PARA ESTUDIANTES DE POSTGRADO</v>
      </c>
      <c r="J67" s="98" t="str">
        <f t="shared" si="3"/>
        <v>Posgrado</v>
      </c>
      <c r="K67" s="98" t="s">
        <v>410</v>
      </c>
      <c r="L67" s="98"/>
    </row>
    <row r="68" spans="3:12" x14ac:dyDescent="0.25">
      <c r="C68" s="141"/>
      <c r="D68" s="158"/>
      <c r="E68" s="123"/>
      <c r="F68" s="97">
        <f t="shared" si="2"/>
        <v>0</v>
      </c>
      <c r="G68" s="161"/>
      <c r="H68" s="142" t="s">
        <v>1104</v>
      </c>
      <c r="I68" s="130" t="str">
        <f>VLOOKUP(H68,Presupuesto!$B$11:$C$565,2,0)</f>
        <v>Becas Especiales de Investigación</v>
      </c>
      <c r="J68" s="98" t="str">
        <f t="shared" si="3"/>
        <v>Posgrado</v>
      </c>
      <c r="K68" s="98" t="s">
        <v>410</v>
      </c>
      <c r="L68" s="98"/>
    </row>
    <row r="69" spans="3:12" ht="15.75" thickBot="1" x14ac:dyDescent="0.3">
      <c r="C69" s="147"/>
      <c r="D69" s="222"/>
      <c r="E69" s="103"/>
      <c r="F69" s="105">
        <f t="shared" si="2"/>
        <v>0</v>
      </c>
      <c r="G69" s="162"/>
      <c r="H69" s="148"/>
      <c r="I69" s="132" t="e">
        <f>VLOOKUP(H69,Presupuesto!$B$11:$C$565,2,0)</f>
        <v>#N/A</v>
      </c>
      <c r="J69" s="106" t="str">
        <f t="shared" si="3"/>
        <v>Posgrado</v>
      </c>
      <c r="K69" s="124" t="s">
        <v>392</v>
      </c>
      <c r="L69" s="124"/>
    </row>
    <row r="71" spans="3:12" ht="15.75" thickBot="1" x14ac:dyDescent="0.3"/>
    <row r="72" spans="3:12" ht="15.75" thickBot="1" x14ac:dyDescent="0.3">
      <c r="C72" s="157" t="s">
        <v>53</v>
      </c>
      <c r="D72" s="372">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2" t="s">
        <v>390</v>
      </c>
      <c r="D75" s="368"/>
      <c r="E75" s="93"/>
      <c r="F75" s="93"/>
      <c r="G75" s="93"/>
      <c r="H75" s="76"/>
      <c r="I75" s="76"/>
      <c r="J75" s="76"/>
      <c r="K75" s="112"/>
    </row>
    <row r="76" spans="3:12" ht="18.75" x14ac:dyDescent="0.25">
      <c r="C76" s="210" t="e">
        <f>IFERROR(VLOOKUP(D75,'1. Desarrollo e Innov. Curricu.'!$F:$G,2,FALSE),IFERROR(VLOOKUP(D75,'2. Investigación Científica'!$F:$G,2,FALSE),IFERROR(VLOOKUP(D75,'3. Vinculación Univ. Sociedad'!$F:$G,2,FALSE),IFERROR(VLOOKUP(D75,'4. Docencia y Profesorado Univ.'!$F:$G,2,FALSE),IFERROR(VLOOKUP(D75,'5. Estudiantes y Graduados'!$F:$G,2,FALSE),IFERROR(VLOOKUP(D75,'11. Gestion Administrativa'!$F:$G,2,FALSE),IFERROR(VLOOKUP(D75,'13. Gestión Académica'!$F:$G,2,FALSE),IFERROR(VLOOKUP(D75,'9. Asegura. de la Calid. y M'!$F:$G,2,FALSE),IFERROR(VLOOKUP(D75,'6. Gestión del Conocimiento'!$F:$G,2,FALSE),IFERROR(VLOOKUP(D75,'15. Gobernabilidad y Proceso...'!$G:$H,2,FALSE),IFERROR(VLOOKUP(D75,'12. Gestión del Talento Humano'!$F:$G,2,FALSE),IFERROR(VLOOKUP(D75,'14. Internacional... de la E.S.'!$F:$G,2,FALSE),IFERROR(VLOOKUP(D75,'10. Posgrado'!$F:$G,2,FALSE),IFERROR(VLOOKUP(D75,'17. Gestión TIC'!$F:$G,2,FALSE),IFERROR(VLOOKUP(D75,'16. Desa. del Sistema Educ.Sup.'!$F:$G,2,FALSE),IFERROR(VLOOKUP(D75,'8. Cultura de Inno. Insti...'!$F:$G,2,FALSE),VLOOKUP(D75,'7. Lo Esencial de la Reforma U.'!$G:$H,2,0)))))))))))))))))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129</v>
      </c>
      <c r="H78" s="136" t="s">
        <v>46</v>
      </c>
      <c r="I78" s="133" t="s">
        <v>130</v>
      </c>
      <c r="J78" s="133" t="s">
        <v>408</v>
      </c>
      <c r="K78" s="133" t="s">
        <v>409</v>
      </c>
      <c r="L78" s="133" t="s">
        <v>463</v>
      </c>
    </row>
    <row r="79" spans="3:12" x14ac:dyDescent="0.25">
      <c r="C79" s="141"/>
      <c r="D79" s="158"/>
      <c r="E79" s="115"/>
      <c r="F79" s="97">
        <f t="shared" ref="F79:F100" si="4">D79*E79</f>
        <v>0</v>
      </c>
      <c r="G79" s="161"/>
      <c r="H79" s="142" t="s">
        <v>1064</v>
      </c>
      <c r="I79" s="130" t="str">
        <f>VLOOKUP(H79,Presupuesto!$B$11:$C$565,2,0)</f>
        <v>BECAS</v>
      </c>
      <c r="J79" s="218" t="s">
        <v>1443</v>
      </c>
      <c r="K79" s="98" t="s">
        <v>392</v>
      </c>
      <c r="L79" s="98"/>
    </row>
    <row r="80" spans="3:12" x14ac:dyDescent="0.25">
      <c r="C80" s="141"/>
      <c r="D80" s="158"/>
      <c r="E80" s="123"/>
      <c r="F80" s="97">
        <f t="shared" si="4"/>
        <v>0</v>
      </c>
      <c r="G80" s="161"/>
      <c r="H80" s="142" t="s">
        <v>1066</v>
      </c>
      <c r="I80" s="130" t="str">
        <f>VLOOKUP(H80,Presupuesto!$B$11:$C$565,2,0)</f>
        <v>BECAS ESTUDIANTES DE PREGRADO (PLAN REFORMA)</v>
      </c>
      <c r="J80" s="98" t="str">
        <f>$J$79</f>
        <v>Posgrado</v>
      </c>
      <c r="K80" s="98" t="s">
        <v>410</v>
      </c>
      <c r="L80" s="98"/>
    </row>
    <row r="81" spans="3:12" x14ac:dyDescent="0.25">
      <c r="C81" s="141"/>
      <c r="D81" s="158"/>
      <c r="E81" s="123"/>
      <c r="F81" s="97">
        <f t="shared" si="4"/>
        <v>0</v>
      </c>
      <c r="G81" s="161"/>
      <c r="H81" s="142" t="s">
        <v>1068</v>
      </c>
      <c r="I81" s="130" t="str">
        <f>VLOOKUP(H81,Presupuesto!$B$11:$C$565,2,0)</f>
        <v>BECAS CONVENIO MINISTERIO SALUD -IHSS-UNAH</v>
      </c>
      <c r="J81" s="98" t="str">
        <f t="shared" ref="J81:J100" si="5">$J$79</f>
        <v>Posgrado</v>
      </c>
      <c r="K81" s="98" t="s">
        <v>410</v>
      </c>
      <c r="L81" s="98"/>
    </row>
    <row r="82" spans="3:12" x14ac:dyDescent="0.25">
      <c r="C82" s="141"/>
      <c r="D82" s="158"/>
      <c r="E82" s="123"/>
      <c r="F82" s="97">
        <f t="shared" si="4"/>
        <v>0</v>
      </c>
      <c r="G82" s="161"/>
      <c r="H82" s="142" t="s">
        <v>1070</v>
      </c>
      <c r="I82" s="130" t="str">
        <f>VLOOKUP(H82,Presupuesto!$B$11:$C$565,2,0)</f>
        <v>BECAS DE ACTUALIZACION Y CAPACITACION DOCENTE</v>
      </c>
      <c r="J82" s="98" t="str">
        <f t="shared" si="5"/>
        <v>Posgrado</v>
      </c>
      <c r="K82" s="98" t="s">
        <v>410</v>
      </c>
      <c r="L82" s="98"/>
    </row>
    <row r="83" spans="3:12" x14ac:dyDescent="0.25">
      <c r="C83" s="141"/>
      <c r="D83" s="158"/>
      <c r="E83" s="123"/>
      <c r="F83" s="97">
        <f t="shared" si="4"/>
        <v>0</v>
      </c>
      <c r="G83" s="161"/>
      <c r="H83" s="142" t="s">
        <v>1072</v>
      </c>
      <c r="I83" s="130" t="str">
        <f>VLOOKUP(H83,Presupuesto!$B$11:$C$565,2,0)</f>
        <v>BECAS EXCELENCIA ACADEMICA</v>
      </c>
      <c r="J83" s="98" t="str">
        <f t="shared" si="5"/>
        <v>Posgrado</v>
      </c>
      <c r="K83" s="98" t="s">
        <v>410</v>
      </c>
      <c r="L83" s="98"/>
    </row>
    <row r="84" spans="3:12" x14ac:dyDescent="0.25">
      <c r="C84" s="141"/>
      <c r="D84" s="158"/>
      <c r="E84" s="123"/>
      <c r="F84" s="97">
        <f t="shared" si="4"/>
        <v>0</v>
      </c>
      <c r="G84" s="161"/>
      <c r="H84" s="142" t="s">
        <v>1074</v>
      </c>
      <c r="I84" s="130" t="str">
        <f>VLOOKUP(H84,Presupuesto!$B$11:$C$565,2,0)</f>
        <v>BECAS PARA HIJOS DE LOS TRABAJADORES</v>
      </c>
      <c r="J84" s="98" t="str">
        <f t="shared" si="5"/>
        <v>Posgrado</v>
      </c>
      <c r="K84" s="98" t="s">
        <v>399</v>
      </c>
      <c r="L84" s="98"/>
    </row>
    <row r="85" spans="3:12" x14ac:dyDescent="0.25">
      <c r="C85" s="141"/>
      <c r="D85" s="158"/>
      <c r="E85" s="123"/>
      <c r="F85" s="97">
        <f t="shared" si="4"/>
        <v>0</v>
      </c>
      <c r="G85" s="161"/>
      <c r="H85" s="142" t="s">
        <v>1076</v>
      </c>
      <c r="I85" s="130" t="str">
        <f>VLOOKUP(H85,Presupuesto!$B$11:$C$565,2,0)</f>
        <v>BECAS POST GRADO ECONOMIA</v>
      </c>
      <c r="J85" s="98" t="str">
        <f t="shared" si="5"/>
        <v>Posgrado</v>
      </c>
      <c r="K85" s="98" t="s">
        <v>410</v>
      </c>
      <c r="L85" s="98"/>
    </row>
    <row r="86" spans="3:12" x14ac:dyDescent="0.25">
      <c r="C86" s="141"/>
      <c r="D86" s="158"/>
      <c r="E86" s="123"/>
      <c r="F86" s="97">
        <f t="shared" si="4"/>
        <v>0</v>
      </c>
      <c r="G86" s="161"/>
      <c r="H86" s="142" t="s">
        <v>1078</v>
      </c>
      <c r="I86" s="130" t="str">
        <f>VLOOKUP(H86,Presupuesto!$B$11:$C$565,2,0)</f>
        <v>BECAS POST-GRADO DE TRABAJO SOCIAL</v>
      </c>
      <c r="J86" s="98" t="str">
        <f t="shared" si="5"/>
        <v>Posgrado</v>
      </c>
      <c r="K86" s="98" t="s">
        <v>410</v>
      </c>
      <c r="L86" s="98"/>
    </row>
    <row r="87" spans="3:12" x14ac:dyDescent="0.25">
      <c r="C87" s="141"/>
      <c r="D87" s="158"/>
      <c r="E87" s="123"/>
      <c r="F87" s="97">
        <f t="shared" si="4"/>
        <v>0</v>
      </c>
      <c r="G87" s="161"/>
      <c r="H87" s="142" t="s">
        <v>1080</v>
      </c>
      <c r="I87" s="130" t="str">
        <f>VLOOKUP(H87,Presupuesto!$B$11:$C$565,2,0)</f>
        <v>BECAS PROFESIONALIZANTES DOCENTE (PLAN DE REFORMA)</v>
      </c>
      <c r="J87" s="98" t="str">
        <f t="shared" si="5"/>
        <v>Posgrado</v>
      </c>
      <c r="K87" s="98" t="s">
        <v>410</v>
      </c>
      <c r="L87" s="98"/>
    </row>
    <row r="88" spans="3:12" x14ac:dyDescent="0.25">
      <c r="C88" s="141"/>
      <c r="D88" s="158"/>
      <c r="E88" s="123"/>
      <c r="F88" s="97">
        <f t="shared" si="4"/>
        <v>0</v>
      </c>
      <c r="G88" s="161"/>
      <c r="H88" s="142" t="s">
        <v>1082</v>
      </c>
      <c r="I88" s="130" t="str">
        <f>VLOOKUP(H88,Presupuesto!$B$11:$C$565,2,0)</f>
        <v>PRESTAMOS A ESTUDIANTES</v>
      </c>
      <c r="J88" s="98" t="str">
        <f t="shared" si="5"/>
        <v>Posgrado</v>
      </c>
      <c r="K88" s="98" t="s">
        <v>410</v>
      </c>
      <c r="L88" s="98"/>
    </row>
    <row r="89" spans="3:12" x14ac:dyDescent="0.25">
      <c r="C89" s="141"/>
      <c r="D89" s="158"/>
      <c r="E89" s="123"/>
      <c r="F89" s="97">
        <f t="shared" si="4"/>
        <v>0</v>
      </c>
      <c r="G89" s="161"/>
      <c r="H89" s="142" t="s">
        <v>1084</v>
      </c>
      <c r="I89" s="130" t="str">
        <f>VLOOKUP(H89,Presupuesto!$B$11:$C$565,2,0)</f>
        <v>BECAS TALLERES EMPLEADOS A ESTUDIANTES</v>
      </c>
      <c r="J89" s="98" t="str">
        <f t="shared" si="5"/>
        <v>Posgrado</v>
      </c>
      <c r="K89" s="98" t="s">
        <v>410</v>
      </c>
      <c r="L89" s="98"/>
    </row>
    <row r="90" spans="3:12" x14ac:dyDescent="0.25">
      <c r="C90" s="141"/>
      <c r="D90" s="158"/>
      <c r="E90" s="123"/>
      <c r="F90" s="97">
        <f t="shared" si="4"/>
        <v>0</v>
      </c>
      <c r="G90" s="161"/>
      <c r="H90" s="142" t="s">
        <v>1086</v>
      </c>
      <c r="I90" s="130" t="str">
        <f>VLOOKUP(H90,Presupuesto!$B$11:$C$565,2,0)</f>
        <v>BECAS EXTERNAS DE INVESTIGACION</v>
      </c>
      <c r="J90" s="98" t="str">
        <f t="shared" si="5"/>
        <v>Posgrado</v>
      </c>
      <c r="K90" s="98" t="s">
        <v>410</v>
      </c>
      <c r="L90" s="98"/>
    </row>
    <row r="91" spans="3:12" x14ac:dyDescent="0.25">
      <c r="C91" s="141"/>
      <c r="D91" s="158"/>
      <c r="E91" s="123"/>
      <c r="F91" s="97">
        <f t="shared" si="4"/>
        <v>0</v>
      </c>
      <c r="G91" s="161"/>
      <c r="H91" s="142" t="s">
        <v>1088</v>
      </c>
      <c r="I91" s="130" t="str">
        <f>VLOOKUP(H91,Presupuesto!$B$11:$C$565,2,0)</f>
        <v>BECAS SUSTANTIVAS DE INVESTIGACIÓN</v>
      </c>
      <c r="J91" s="98" t="str">
        <f t="shared" si="5"/>
        <v>Posgrado</v>
      </c>
      <c r="K91" s="98" t="s">
        <v>410</v>
      </c>
      <c r="L91" s="98"/>
    </row>
    <row r="92" spans="3:12" x14ac:dyDescent="0.25">
      <c r="C92" s="141"/>
      <c r="D92" s="158"/>
      <c r="E92" s="123"/>
      <c r="F92" s="97">
        <f t="shared" si="4"/>
        <v>0</v>
      </c>
      <c r="G92" s="161"/>
      <c r="H92" s="142" t="s">
        <v>1090</v>
      </c>
      <c r="I92" s="130" t="str">
        <f>VLOOKUP(H92,Presupuesto!$B$11:$C$565,2,0)</f>
        <v>BECAS DE INVEST, PARA ESTUD. DE PREGRADO</v>
      </c>
      <c r="J92" s="98" t="str">
        <f t="shared" si="5"/>
        <v>Posgrado</v>
      </c>
      <c r="K92" s="98" t="s">
        <v>410</v>
      </c>
      <c r="L92" s="98"/>
    </row>
    <row r="93" spans="3:12" x14ac:dyDescent="0.25">
      <c r="C93" s="141"/>
      <c r="D93" s="158"/>
      <c r="E93" s="123"/>
      <c r="F93" s="97">
        <f t="shared" si="4"/>
        <v>0</v>
      </c>
      <c r="G93" s="161"/>
      <c r="H93" s="142" t="s">
        <v>1092</v>
      </c>
      <c r="I93" s="130" t="str">
        <f>VLOOKUP(H93,Presupuesto!$B$11:$C$565,2,0)</f>
        <v>BECAS DE INVEST. PARA DOC.DE POST-GRADO</v>
      </c>
      <c r="J93" s="98" t="str">
        <f t="shared" si="5"/>
        <v>Posgrado</v>
      </c>
      <c r="K93" s="98" t="s">
        <v>410</v>
      </c>
      <c r="L93" s="98"/>
    </row>
    <row r="94" spans="3:12" x14ac:dyDescent="0.25">
      <c r="C94" s="141"/>
      <c r="D94" s="158"/>
      <c r="E94" s="123"/>
      <c r="F94" s="97">
        <f t="shared" si="4"/>
        <v>0</v>
      </c>
      <c r="G94" s="161"/>
      <c r="H94" s="142" t="s">
        <v>1094</v>
      </c>
      <c r="I94" s="130" t="str">
        <f>VLOOKUP(H94,Presupuesto!$B$11:$C$565,2,0)</f>
        <v>BECAS BÁSICAS DE INVESTIGACIÓN</v>
      </c>
      <c r="J94" s="98" t="str">
        <f t="shared" si="5"/>
        <v>Posgrado</v>
      </c>
      <c r="K94" s="98" t="s">
        <v>410</v>
      </c>
      <c r="L94" s="98"/>
    </row>
    <row r="95" spans="3:12" x14ac:dyDescent="0.25">
      <c r="C95" s="141"/>
      <c r="D95" s="158"/>
      <c r="E95" s="123"/>
      <c r="F95" s="97">
        <f t="shared" si="4"/>
        <v>0</v>
      </c>
      <c r="G95" s="161"/>
      <c r="H95" s="142" t="s">
        <v>1096</v>
      </c>
      <c r="I95" s="130" t="str">
        <f>VLOOKUP(H95,Presupuesto!$B$11:$C$565,2,0)</f>
        <v>BECAS RELEVO GENERACIONAL</v>
      </c>
      <c r="J95" s="98" t="str">
        <f t="shared" si="5"/>
        <v>Posgrado</v>
      </c>
      <c r="K95" s="98" t="s">
        <v>410</v>
      </c>
      <c r="L95" s="98"/>
    </row>
    <row r="96" spans="3:12" x14ac:dyDescent="0.25">
      <c r="C96" s="141"/>
      <c r="D96" s="158"/>
      <c r="E96" s="123"/>
      <c r="F96" s="97">
        <f t="shared" si="4"/>
        <v>0</v>
      </c>
      <c r="G96" s="161"/>
      <c r="H96" s="142" t="s">
        <v>1098</v>
      </c>
      <c r="I96" s="130" t="str">
        <f>VLOOKUP(H96,Presupuesto!$B$11:$C$565,2,0)</f>
        <v>BECAS DE EQUIDAD</v>
      </c>
      <c r="J96" s="98" t="str">
        <f t="shared" si="5"/>
        <v>Posgrado</v>
      </c>
      <c r="K96" s="98" t="s">
        <v>410</v>
      </c>
      <c r="L96" s="98"/>
    </row>
    <row r="97" spans="3:12" x14ac:dyDescent="0.25">
      <c r="C97" s="141"/>
      <c r="D97" s="158"/>
      <c r="E97" s="123"/>
      <c r="F97" s="97">
        <f t="shared" si="4"/>
        <v>0</v>
      </c>
      <c r="G97" s="161"/>
      <c r="H97" s="142" t="s">
        <v>1100</v>
      </c>
      <c r="I97" s="130" t="str">
        <f>VLOOKUP(H97,Presupuesto!$B$11:$C$565,2,0)</f>
        <v>PREMIOS AL INVESTIGADOR</v>
      </c>
      <c r="J97" s="98" t="str">
        <f t="shared" si="5"/>
        <v>Posgrado</v>
      </c>
      <c r="K97" s="98" t="s">
        <v>410</v>
      </c>
      <c r="L97" s="98"/>
    </row>
    <row r="98" spans="3:12" x14ac:dyDescent="0.25">
      <c r="C98" s="141"/>
      <c r="D98" s="158"/>
      <c r="E98" s="123"/>
      <c r="F98" s="97">
        <f t="shared" si="4"/>
        <v>0</v>
      </c>
      <c r="G98" s="161"/>
      <c r="H98" s="142" t="s">
        <v>1102</v>
      </c>
      <c r="I98" s="130" t="str">
        <f>VLOOKUP(H98,Presupuesto!$B$11:$C$565,2,0)</f>
        <v>BECAS DE INV. PARA ESTUDIANTES DE POSTGRADO</v>
      </c>
      <c r="J98" s="98" t="str">
        <f t="shared" si="5"/>
        <v>Posgrado</v>
      </c>
      <c r="K98" s="98" t="s">
        <v>410</v>
      </c>
      <c r="L98" s="98"/>
    </row>
    <row r="99" spans="3:12" x14ac:dyDescent="0.25">
      <c r="C99" s="141"/>
      <c r="D99" s="158"/>
      <c r="E99" s="123"/>
      <c r="F99" s="97">
        <f t="shared" si="4"/>
        <v>0</v>
      </c>
      <c r="G99" s="161"/>
      <c r="H99" s="142" t="s">
        <v>1104</v>
      </c>
      <c r="I99" s="130" t="str">
        <f>VLOOKUP(H99,Presupuesto!$B$11:$C$565,2,0)</f>
        <v>Becas Especiales de Investigación</v>
      </c>
      <c r="J99" s="98" t="str">
        <f t="shared" si="5"/>
        <v>Posgrado</v>
      </c>
      <c r="K99" s="98" t="s">
        <v>410</v>
      </c>
      <c r="L99" s="98"/>
    </row>
    <row r="100" spans="3:12" ht="15.75" thickBot="1" x14ac:dyDescent="0.3">
      <c r="C100" s="147"/>
      <c r="D100" s="222"/>
      <c r="E100" s="103"/>
      <c r="F100" s="105">
        <f t="shared" si="4"/>
        <v>0</v>
      </c>
      <c r="G100" s="162"/>
      <c r="H100" s="148"/>
      <c r="I100" s="132" t="e">
        <f>VLOOKUP(H100,Presupuesto!$B$11:$C$565,2,0)</f>
        <v>#N/A</v>
      </c>
      <c r="J100" s="106" t="str">
        <f t="shared" si="5"/>
        <v>Posgrado</v>
      </c>
      <c r="K100" s="124" t="s">
        <v>392</v>
      </c>
      <c r="L100" s="124"/>
    </row>
    <row r="102" spans="3:12" ht="15.75" thickBot="1" x14ac:dyDescent="0.3"/>
    <row r="103" spans="3:12" ht="15.75" thickBot="1" x14ac:dyDescent="0.3">
      <c r="C103" s="157" t="s">
        <v>53</v>
      </c>
      <c r="D103" s="372">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2" t="s">
        <v>390</v>
      </c>
      <c r="D106" s="368"/>
      <c r="E106" s="93"/>
      <c r="F106" s="93"/>
      <c r="G106" s="93"/>
      <c r="H106" s="76"/>
      <c r="I106" s="76"/>
      <c r="J106" s="76"/>
      <c r="K106" s="112"/>
    </row>
    <row r="107" spans="3:12" ht="18.75" x14ac:dyDescent="0.25">
      <c r="C107" s="210" t="e">
        <f>IFERROR(VLOOKUP(D106,'1. Desarrollo e Innov. Curricu.'!$F:$G,2,FALSE),IFERROR(VLOOKUP(D106,'2. Investigación Científica'!$F:$G,2,FALSE),IFERROR(VLOOKUP(D106,'3. Vinculación Univ. Sociedad'!$F:$G,2,FALSE),IFERROR(VLOOKUP(D106,'4. Docencia y Profesorado Univ.'!$F:$G,2,FALSE),IFERROR(VLOOKUP(D106,'5. Estudiantes y Graduados'!$F:$G,2,FALSE),IFERROR(VLOOKUP(D106,'11. Gestion Administrativa'!$F:$G,2,FALSE),IFERROR(VLOOKUP(D106,'13. Gestión Académica'!$F:$G,2,FALSE),IFERROR(VLOOKUP(D106,'9. Asegura. de la Calid. y M'!$F:$G,2,FALSE),IFERROR(VLOOKUP(D106,'6. Gestión del Conocimiento'!$F:$G,2,FALSE),IFERROR(VLOOKUP(D106,'15. Gobernabilidad y Proceso...'!$G:$H,2,FALSE),IFERROR(VLOOKUP(D106,'12. Gestión del Talento Humano'!$F:$G,2,FALSE),IFERROR(VLOOKUP(D106,'14. Internacional... de la E.S.'!$F:$G,2,FALSE),IFERROR(VLOOKUP(D106,'10. Posgrado'!$F:$G,2,FALSE),IFERROR(VLOOKUP(D106,'17. Gestión TIC'!$F:$G,2,FALSE),IFERROR(VLOOKUP(D106,'16. Desa. del Sistema Educ.Sup.'!$F:$G,2,FALSE),IFERROR(VLOOKUP(D106,'8. Cultura de Inno. Insti...'!$F:$G,2,FALSE),VLOOKUP(D106,'7. Lo Esencial de la Reforma U.'!$G:$H,2,0)))))))))))))))))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129</v>
      </c>
      <c r="H109" s="136" t="s">
        <v>46</v>
      </c>
      <c r="I109" s="133" t="s">
        <v>130</v>
      </c>
      <c r="J109" s="133" t="s">
        <v>408</v>
      </c>
      <c r="K109" s="133" t="s">
        <v>409</v>
      </c>
      <c r="L109" s="133" t="s">
        <v>463</v>
      </c>
    </row>
    <row r="110" spans="3:12" x14ac:dyDescent="0.25">
      <c r="C110" s="141"/>
      <c r="D110" s="158"/>
      <c r="E110" s="115"/>
      <c r="F110" s="97">
        <f t="shared" ref="F110:F131" si="6">D110*E110</f>
        <v>0</v>
      </c>
      <c r="G110" s="161"/>
      <c r="H110" s="142" t="s">
        <v>1064</v>
      </c>
      <c r="I110" s="130" t="str">
        <f>VLOOKUP(H110,Presupuesto!$B$11:$C$565,2,0)</f>
        <v>BECAS</v>
      </c>
      <c r="J110" s="218" t="s">
        <v>1443</v>
      </c>
      <c r="K110" s="98" t="s">
        <v>392</v>
      </c>
      <c r="L110" s="98"/>
    </row>
    <row r="111" spans="3:12" x14ac:dyDescent="0.25">
      <c r="C111" s="141"/>
      <c r="D111" s="158"/>
      <c r="E111" s="123"/>
      <c r="F111" s="97">
        <f t="shared" si="6"/>
        <v>0</v>
      </c>
      <c r="G111" s="161"/>
      <c r="H111" s="142" t="s">
        <v>1066</v>
      </c>
      <c r="I111" s="130" t="str">
        <f>VLOOKUP(H111,Presupuesto!$B$11:$C$565,2,0)</f>
        <v>BECAS ESTUDIANTES DE PREGRADO (PLAN REFORMA)</v>
      </c>
      <c r="J111" s="98" t="str">
        <f>$J$110</f>
        <v>Posgrado</v>
      </c>
      <c r="K111" s="98" t="s">
        <v>410</v>
      </c>
      <c r="L111" s="98"/>
    </row>
    <row r="112" spans="3:12" x14ac:dyDescent="0.25">
      <c r="C112" s="141"/>
      <c r="D112" s="158"/>
      <c r="E112" s="123"/>
      <c r="F112" s="97">
        <f t="shared" si="6"/>
        <v>0</v>
      </c>
      <c r="G112" s="161"/>
      <c r="H112" s="142" t="s">
        <v>1068</v>
      </c>
      <c r="I112" s="130" t="str">
        <f>VLOOKUP(H112,Presupuesto!$B$11:$C$565,2,0)</f>
        <v>BECAS CONVENIO MINISTERIO SALUD -IHSS-UNAH</v>
      </c>
      <c r="J112" s="98" t="str">
        <f t="shared" ref="J112:J131" si="7">$J$110</f>
        <v>Posgrado</v>
      </c>
      <c r="K112" s="98" t="s">
        <v>410</v>
      </c>
      <c r="L112" s="98"/>
    </row>
    <row r="113" spans="3:12" x14ac:dyDescent="0.25">
      <c r="C113" s="141"/>
      <c r="D113" s="158"/>
      <c r="E113" s="123"/>
      <c r="F113" s="97">
        <f t="shared" si="6"/>
        <v>0</v>
      </c>
      <c r="G113" s="161"/>
      <c r="H113" s="142" t="s">
        <v>1070</v>
      </c>
      <c r="I113" s="130" t="str">
        <f>VLOOKUP(H113,Presupuesto!$B$11:$C$565,2,0)</f>
        <v>BECAS DE ACTUALIZACION Y CAPACITACION DOCENTE</v>
      </c>
      <c r="J113" s="98" t="str">
        <f t="shared" si="7"/>
        <v>Posgrado</v>
      </c>
      <c r="K113" s="98" t="s">
        <v>410</v>
      </c>
      <c r="L113" s="98"/>
    </row>
    <row r="114" spans="3:12" x14ac:dyDescent="0.25">
      <c r="C114" s="141"/>
      <c r="D114" s="158"/>
      <c r="E114" s="123"/>
      <c r="F114" s="97">
        <f t="shared" si="6"/>
        <v>0</v>
      </c>
      <c r="G114" s="161"/>
      <c r="H114" s="142" t="s">
        <v>1072</v>
      </c>
      <c r="I114" s="130" t="str">
        <f>VLOOKUP(H114,Presupuesto!$B$11:$C$565,2,0)</f>
        <v>BECAS EXCELENCIA ACADEMICA</v>
      </c>
      <c r="J114" s="98" t="str">
        <f t="shared" si="7"/>
        <v>Posgrado</v>
      </c>
      <c r="K114" s="98" t="s">
        <v>410</v>
      </c>
      <c r="L114" s="98"/>
    </row>
    <row r="115" spans="3:12" x14ac:dyDescent="0.25">
      <c r="C115" s="141"/>
      <c r="D115" s="158"/>
      <c r="E115" s="123"/>
      <c r="F115" s="97">
        <f t="shared" si="6"/>
        <v>0</v>
      </c>
      <c r="G115" s="161"/>
      <c r="H115" s="142" t="s">
        <v>1074</v>
      </c>
      <c r="I115" s="130" t="str">
        <f>VLOOKUP(H115,Presupuesto!$B$11:$C$565,2,0)</f>
        <v>BECAS PARA HIJOS DE LOS TRABAJADORES</v>
      </c>
      <c r="J115" s="98" t="str">
        <f t="shared" si="7"/>
        <v>Posgrado</v>
      </c>
      <c r="K115" s="98" t="s">
        <v>399</v>
      </c>
      <c r="L115" s="98"/>
    </row>
    <row r="116" spans="3:12" x14ac:dyDescent="0.25">
      <c r="C116" s="141"/>
      <c r="D116" s="158"/>
      <c r="E116" s="123"/>
      <c r="F116" s="97">
        <f t="shared" si="6"/>
        <v>0</v>
      </c>
      <c r="G116" s="161"/>
      <c r="H116" s="142" t="s">
        <v>1076</v>
      </c>
      <c r="I116" s="130" t="str">
        <f>VLOOKUP(H116,Presupuesto!$B$11:$C$565,2,0)</f>
        <v>BECAS POST GRADO ECONOMIA</v>
      </c>
      <c r="J116" s="98" t="str">
        <f t="shared" si="7"/>
        <v>Posgrado</v>
      </c>
      <c r="K116" s="98" t="s">
        <v>410</v>
      </c>
      <c r="L116" s="98"/>
    </row>
    <row r="117" spans="3:12" x14ac:dyDescent="0.25">
      <c r="C117" s="141"/>
      <c r="D117" s="158"/>
      <c r="E117" s="123"/>
      <c r="F117" s="97">
        <f t="shared" si="6"/>
        <v>0</v>
      </c>
      <c r="G117" s="161"/>
      <c r="H117" s="142" t="s">
        <v>1078</v>
      </c>
      <c r="I117" s="130" t="str">
        <f>VLOOKUP(H117,Presupuesto!$B$11:$C$565,2,0)</f>
        <v>BECAS POST-GRADO DE TRABAJO SOCIAL</v>
      </c>
      <c r="J117" s="98" t="str">
        <f t="shared" si="7"/>
        <v>Posgrado</v>
      </c>
      <c r="K117" s="98" t="s">
        <v>410</v>
      </c>
      <c r="L117" s="98"/>
    </row>
    <row r="118" spans="3:12" x14ac:dyDescent="0.25">
      <c r="C118" s="141"/>
      <c r="D118" s="158"/>
      <c r="E118" s="123"/>
      <c r="F118" s="97">
        <f t="shared" si="6"/>
        <v>0</v>
      </c>
      <c r="G118" s="161"/>
      <c r="H118" s="142" t="s">
        <v>1080</v>
      </c>
      <c r="I118" s="130" t="str">
        <f>VLOOKUP(H118,Presupuesto!$B$11:$C$565,2,0)</f>
        <v>BECAS PROFESIONALIZANTES DOCENTE (PLAN DE REFORMA)</v>
      </c>
      <c r="J118" s="98" t="str">
        <f t="shared" si="7"/>
        <v>Posgrado</v>
      </c>
      <c r="K118" s="98" t="s">
        <v>410</v>
      </c>
      <c r="L118" s="98"/>
    </row>
    <row r="119" spans="3:12" x14ac:dyDescent="0.25">
      <c r="C119" s="141"/>
      <c r="D119" s="158"/>
      <c r="E119" s="123"/>
      <c r="F119" s="97">
        <f t="shared" si="6"/>
        <v>0</v>
      </c>
      <c r="G119" s="161"/>
      <c r="H119" s="142" t="s">
        <v>1082</v>
      </c>
      <c r="I119" s="130" t="str">
        <f>VLOOKUP(H119,Presupuesto!$B$11:$C$565,2,0)</f>
        <v>PRESTAMOS A ESTUDIANTES</v>
      </c>
      <c r="J119" s="98" t="str">
        <f t="shared" si="7"/>
        <v>Posgrado</v>
      </c>
      <c r="K119" s="98" t="s">
        <v>410</v>
      </c>
      <c r="L119" s="98"/>
    </row>
    <row r="120" spans="3:12" x14ac:dyDescent="0.25">
      <c r="C120" s="141"/>
      <c r="D120" s="158"/>
      <c r="E120" s="123"/>
      <c r="F120" s="97">
        <f t="shared" si="6"/>
        <v>0</v>
      </c>
      <c r="G120" s="161"/>
      <c r="H120" s="142" t="s">
        <v>1084</v>
      </c>
      <c r="I120" s="130" t="str">
        <f>VLOOKUP(H120,Presupuesto!$B$11:$C$565,2,0)</f>
        <v>BECAS TALLERES EMPLEADOS A ESTUDIANTES</v>
      </c>
      <c r="J120" s="98" t="str">
        <f t="shared" si="7"/>
        <v>Posgrado</v>
      </c>
      <c r="K120" s="98" t="s">
        <v>410</v>
      </c>
      <c r="L120" s="98"/>
    </row>
    <row r="121" spans="3:12" x14ac:dyDescent="0.25">
      <c r="C121" s="141"/>
      <c r="D121" s="158"/>
      <c r="E121" s="123"/>
      <c r="F121" s="97">
        <f t="shared" si="6"/>
        <v>0</v>
      </c>
      <c r="G121" s="161"/>
      <c r="H121" s="142" t="s">
        <v>1086</v>
      </c>
      <c r="I121" s="130" t="str">
        <f>VLOOKUP(H121,Presupuesto!$B$11:$C$565,2,0)</f>
        <v>BECAS EXTERNAS DE INVESTIGACION</v>
      </c>
      <c r="J121" s="98" t="str">
        <f t="shared" si="7"/>
        <v>Posgrado</v>
      </c>
      <c r="K121" s="98" t="s">
        <v>410</v>
      </c>
      <c r="L121" s="98"/>
    </row>
    <row r="122" spans="3:12" x14ac:dyDescent="0.25">
      <c r="C122" s="141"/>
      <c r="D122" s="158"/>
      <c r="E122" s="123"/>
      <c r="F122" s="97">
        <f t="shared" si="6"/>
        <v>0</v>
      </c>
      <c r="G122" s="161"/>
      <c r="H122" s="142" t="s">
        <v>1088</v>
      </c>
      <c r="I122" s="130" t="str">
        <f>VLOOKUP(H122,Presupuesto!$B$11:$C$565,2,0)</f>
        <v>BECAS SUSTANTIVAS DE INVESTIGACIÓN</v>
      </c>
      <c r="J122" s="98" t="str">
        <f t="shared" si="7"/>
        <v>Posgrado</v>
      </c>
      <c r="K122" s="98" t="s">
        <v>410</v>
      </c>
      <c r="L122" s="98"/>
    </row>
    <row r="123" spans="3:12" x14ac:dyDescent="0.25">
      <c r="C123" s="141"/>
      <c r="D123" s="158"/>
      <c r="E123" s="123"/>
      <c r="F123" s="97">
        <f t="shared" si="6"/>
        <v>0</v>
      </c>
      <c r="G123" s="161"/>
      <c r="H123" s="142" t="s">
        <v>1090</v>
      </c>
      <c r="I123" s="130" t="str">
        <f>VLOOKUP(H123,Presupuesto!$B$11:$C$565,2,0)</f>
        <v>BECAS DE INVEST, PARA ESTUD. DE PREGRADO</v>
      </c>
      <c r="J123" s="98" t="str">
        <f t="shared" si="7"/>
        <v>Posgrado</v>
      </c>
      <c r="K123" s="98" t="s">
        <v>410</v>
      </c>
      <c r="L123" s="98"/>
    </row>
    <row r="124" spans="3:12" x14ac:dyDescent="0.25">
      <c r="C124" s="141"/>
      <c r="D124" s="158"/>
      <c r="E124" s="123"/>
      <c r="F124" s="97">
        <f t="shared" si="6"/>
        <v>0</v>
      </c>
      <c r="G124" s="161"/>
      <c r="H124" s="142" t="s">
        <v>1092</v>
      </c>
      <c r="I124" s="130" t="str">
        <f>VLOOKUP(H124,Presupuesto!$B$11:$C$565,2,0)</f>
        <v>BECAS DE INVEST. PARA DOC.DE POST-GRADO</v>
      </c>
      <c r="J124" s="98" t="str">
        <f t="shared" si="7"/>
        <v>Posgrado</v>
      </c>
      <c r="K124" s="98" t="s">
        <v>410</v>
      </c>
      <c r="L124" s="98"/>
    </row>
    <row r="125" spans="3:12" x14ac:dyDescent="0.25">
      <c r="C125" s="141"/>
      <c r="D125" s="158"/>
      <c r="E125" s="123"/>
      <c r="F125" s="97">
        <f t="shared" si="6"/>
        <v>0</v>
      </c>
      <c r="G125" s="161"/>
      <c r="H125" s="142" t="s">
        <v>1094</v>
      </c>
      <c r="I125" s="130" t="str">
        <f>VLOOKUP(H125,Presupuesto!$B$11:$C$565,2,0)</f>
        <v>BECAS BÁSICAS DE INVESTIGACIÓN</v>
      </c>
      <c r="J125" s="98" t="str">
        <f t="shared" si="7"/>
        <v>Posgrado</v>
      </c>
      <c r="K125" s="98" t="s">
        <v>410</v>
      </c>
      <c r="L125" s="98"/>
    </row>
    <row r="126" spans="3:12" x14ac:dyDescent="0.25">
      <c r="C126" s="141"/>
      <c r="D126" s="158"/>
      <c r="E126" s="123"/>
      <c r="F126" s="97">
        <f t="shared" si="6"/>
        <v>0</v>
      </c>
      <c r="G126" s="161"/>
      <c r="H126" s="142" t="s">
        <v>1096</v>
      </c>
      <c r="I126" s="130" t="str">
        <f>VLOOKUP(H126,Presupuesto!$B$11:$C$565,2,0)</f>
        <v>BECAS RELEVO GENERACIONAL</v>
      </c>
      <c r="J126" s="98" t="str">
        <f t="shared" si="7"/>
        <v>Posgrado</v>
      </c>
      <c r="K126" s="98" t="s">
        <v>410</v>
      </c>
      <c r="L126" s="98"/>
    </row>
    <row r="127" spans="3:12" x14ac:dyDescent="0.25">
      <c r="C127" s="141"/>
      <c r="D127" s="158"/>
      <c r="E127" s="123"/>
      <c r="F127" s="97">
        <f t="shared" si="6"/>
        <v>0</v>
      </c>
      <c r="G127" s="161"/>
      <c r="H127" s="142" t="s">
        <v>1098</v>
      </c>
      <c r="I127" s="130" t="str">
        <f>VLOOKUP(H127,Presupuesto!$B$11:$C$565,2,0)</f>
        <v>BECAS DE EQUIDAD</v>
      </c>
      <c r="J127" s="98" t="str">
        <f t="shared" si="7"/>
        <v>Posgrado</v>
      </c>
      <c r="K127" s="98" t="s">
        <v>410</v>
      </c>
      <c r="L127" s="98"/>
    </row>
    <row r="128" spans="3:12" x14ac:dyDescent="0.25">
      <c r="C128" s="141"/>
      <c r="D128" s="158"/>
      <c r="E128" s="123"/>
      <c r="F128" s="97">
        <f t="shared" si="6"/>
        <v>0</v>
      </c>
      <c r="G128" s="161"/>
      <c r="H128" s="142" t="s">
        <v>1100</v>
      </c>
      <c r="I128" s="130" t="str">
        <f>VLOOKUP(H128,Presupuesto!$B$11:$C$565,2,0)</f>
        <v>PREMIOS AL INVESTIGADOR</v>
      </c>
      <c r="J128" s="98" t="str">
        <f t="shared" si="7"/>
        <v>Posgrado</v>
      </c>
      <c r="K128" s="98" t="s">
        <v>410</v>
      </c>
      <c r="L128" s="98"/>
    </row>
    <row r="129" spans="3:12" x14ac:dyDescent="0.25">
      <c r="C129" s="141"/>
      <c r="D129" s="158"/>
      <c r="E129" s="123"/>
      <c r="F129" s="97">
        <f t="shared" si="6"/>
        <v>0</v>
      </c>
      <c r="G129" s="161"/>
      <c r="H129" s="142" t="s">
        <v>1102</v>
      </c>
      <c r="I129" s="130" t="str">
        <f>VLOOKUP(H129,Presupuesto!$B$11:$C$565,2,0)</f>
        <v>BECAS DE INV. PARA ESTUDIANTES DE POSTGRADO</v>
      </c>
      <c r="J129" s="98" t="str">
        <f t="shared" si="7"/>
        <v>Posgrado</v>
      </c>
      <c r="K129" s="98" t="s">
        <v>410</v>
      </c>
      <c r="L129" s="98"/>
    </row>
    <row r="130" spans="3:12" x14ac:dyDescent="0.25">
      <c r="C130" s="141"/>
      <c r="D130" s="158"/>
      <c r="E130" s="123"/>
      <c r="F130" s="97">
        <f t="shared" si="6"/>
        <v>0</v>
      </c>
      <c r="G130" s="161"/>
      <c r="H130" s="142" t="s">
        <v>1104</v>
      </c>
      <c r="I130" s="130" t="str">
        <f>VLOOKUP(H130,Presupuesto!$B$11:$C$565,2,0)</f>
        <v>Becas Especiales de Investigación</v>
      </c>
      <c r="J130" s="98" t="str">
        <f t="shared" si="7"/>
        <v>Posgrado</v>
      </c>
      <c r="K130" s="98" t="s">
        <v>410</v>
      </c>
      <c r="L130" s="98"/>
    </row>
    <row r="131" spans="3:12" ht="15.75" thickBot="1" x14ac:dyDescent="0.3">
      <c r="C131" s="147"/>
      <c r="D131" s="222"/>
      <c r="E131" s="103"/>
      <c r="F131" s="105">
        <f t="shared" si="6"/>
        <v>0</v>
      </c>
      <c r="G131" s="162"/>
      <c r="H131" s="148"/>
      <c r="I131" s="132" t="e">
        <f>VLOOKUP(H131,Presupuesto!$B$11:$C$565,2,0)</f>
        <v>#N/A</v>
      </c>
      <c r="J131" s="106" t="str">
        <f t="shared" si="7"/>
        <v>Posgrado</v>
      </c>
      <c r="K131" s="124" t="s">
        <v>392</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3</vt:i4>
      </vt:variant>
    </vt:vector>
  </HeadingPairs>
  <TitlesOfParts>
    <vt:vector size="33" baseType="lpstr">
      <vt:lpstr>CME VACIO</vt:lpstr>
      <vt:lpstr>Cuadro Resumen</vt:lpstr>
      <vt:lpstr>Presupuesto</vt:lpstr>
      <vt:lpstr>2. CONTRATACION DE PERSONAL</vt:lpstr>
      <vt:lpstr>1. TALLERES SEMINARIOS</vt:lpstr>
      <vt:lpstr>4. EQUIPO TECNOLÓGICOS</vt:lpstr>
      <vt:lpstr>3. EQUIPO DE OFICINA</vt:lpstr>
      <vt:lpstr>5. ACTIVIDADES ESPECIALES</vt:lpstr>
      <vt:lpstr>6. Becas</vt:lpstr>
      <vt:lpstr>7. Infraestructura</vt:lpstr>
      <vt:lpstr>Hoja3</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Cultura de Inno. Insti...</vt:lpstr>
      <vt:lpstr>9. Asegura. de la Calid. y M</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Hoja1</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LaptopComisionado</cp:lastModifiedBy>
  <cp:lastPrinted>2014-04-11T16:36:49Z</cp:lastPrinted>
  <dcterms:created xsi:type="dcterms:W3CDTF">2010-05-02T01:28:32Z</dcterms:created>
  <dcterms:modified xsi:type="dcterms:W3CDTF">2016-03-09T19:57:42Z</dcterms:modified>
</cp:coreProperties>
</file>